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6000" windowWidth="28485" windowHeight="5940" activeTab="1"/>
  </bookViews>
  <sheets>
    <sheet name="Versions" sheetId="2" r:id="rId1"/>
    <sheet name="Estimate Pg 1" sheetId="1" r:id="rId2"/>
    <sheet name="Estimate Pg 2" sheetId="4" r:id="rId3"/>
    <sheet name="Span Chart &amp; PE-CE Tbls" sheetId="5" r:id="rId4"/>
  </sheets>
  <definedNames>
    <definedName name="Hydraulic_Data">'Estimate Pg 1'!$AB$20</definedName>
    <definedName name="inches">'Estimate Pg 1'!$AI$10:$AK$142</definedName>
    <definedName name="_xlnm.Print_Area" localSheetId="1">'Estimate Pg 1'!$C$7:$N$56</definedName>
    <definedName name="_xlnm.Print_Area" localSheetId="2">'Estimate Pg 2'!$C$9:$N$58</definedName>
    <definedName name="_xlnm.Print_Titles" localSheetId="1">'Estimate Pg 1'!$1:$3</definedName>
    <definedName name="_xlnm.Print_Titles" localSheetId="2">'Estimate Pg 2'!$1:$3</definedName>
    <definedName name="Waterway">'Estimate Pg 1'!$X$31</definedName>
    <definedName name="Waterway2">'Estimate Pg 2'!$Y$14</definedName>
  </definedNames>
  <calcPr calcId="145621"/>
</workbook>
</file>

<file path=xl/calcChain.xml><?xml version="1.0" encoding="utf-8"?>
<calcChain xmlns="http://schemas.openxmlformats.org/spreadsheetml/2006/main">
  <c r="D82" i="1" l="1"/>
  <c r="K37" i="1" l="1"/>
  <c r="D76" i="1" l="1"/>
  <c r="D78" i="1" l="1"/>
  <c r="D77" i="1"/>
  <c r="A75" i="4" l="1"/>
  <c r="A76" i="4" s="1"/>
  <c r="A77" i="4" s="1"/>
  <c r="A78" i="4" s="1"/>
  <c r="A79" i="4" s="1"/>
  <c r="A80" i="4" s="1"/>
  <c r="A81" i="4" s="1"/>
  <c r="A82" i="4" s="1"/>
  <c r="A83" i="4" s="1"/>
  <c r="A84" i="4" s="1"/>
  <c r="A85" i="4" s="1"/>
  <c r="A86" i="4" s="1"/>
  <c r="A87" i="4" s="1"/>
  <c r="A88" i="4" s="1"/>
  <c r="D75" i="4"/>
  <c r="D76" i="4"/>
  <c r="D77" i="4"/>
  <c r="D78" i="4"/>
  <c r="D79" i="4"/>
  <c r="D80" i="4"/>
  <c r="D81" i="4"/>
  <c r="D82" i="4"/>
  <c r="D83" i="4"/>
  <c r="D85" i="4"/>
  <c r="D86" i="4"/>
  <c r="D87" i="4"/>
  <c r="D88" i="4"/>
  <c r="AK77" i="1"/>
  <c r="AJ77" i="1"/>
  <c r="AI77" i="1"/>
  <c r="AE77" i="1"/>
  <c r="AK78" i="1"/>
  <c r="AJ78" i="1"/>
  <c r="AE78" i="1"/>
  <c r="D62" i="1"/>
  <c r="AK79" i="1"/>
  <c r="AJ79" i="1"/>
  <c r="AE79" i="1"/>
  <c r="R60" i="1"/>
  <c r="S60" i="1"/>
  <c r="H23" i="1"/>
  <c r="N39" i="1" l="1"/>
  <c r="N38" i="1"/>
  <c r="L36" i="1"/>
  <c r="K36" i="1"/>
  <c r="S32" i="1"/>
  <c r="C38" i="1"/>
  <c r="Y60" i="1" l="1"/>
  <c r="D84" i="4" s="1"/>
  <c r="N23" i="4"/>
  <c r="N37" i="1"/>
  <c r="L37" i="1"/>
  <c r="N36" i="1"/>
  <c r="C36" i="1"/>
  <c r="C58" i="4" l="1"/>
  <c r="C56" i="1"/>
  <c r="Y54" i="4" l="1"/>
  <c r="U14" i="4"/>
  <c r="N22" i="4" l="1"/>
  <c r="X31" i="1"/>
  <c r="Y14" i="4" s="1"/>
  <c r="C12" i="4" l="1"/>
  <c r="AE76" i="1" l="1"/>
  <c r="C26" i="1"/>
  <c r="D66" i="4" l="1"/>
  <c r="D67" i="4"/>
  <c r="D68" i="4"/>
  <c r="D69" i="4"/>
  <c r="D70" i="4"/>
  <c r="D71" i="4"/>
  <c r="D72" i="4"/>
  <c r="D73" i="4"/>
  <c r="D74" i="4"/>
  <c r="D63" i="1" l="1"/>
  <c r="D65" i="4" s="1"/>
  <c r="D64" i="4"/>
  <c r="R30" i="1"/>
  <c r="R28" i="1" l="1"/>
  <c r="S29" i="1" s="1"/>
  <c r="AF20" i="4" l="1"/>
  <c r="K58" i="4" l="1"/>
  <c r="K56" i="1"/>
  <c r="K24" i="4" l="1"/>
  <c r="R24" i="1" l="1"/>
  <c r="K65" i="2"/>
  <c r="L65" i="2" s="1"/>
  <c r="K66" i="2" s="1"/>
  <c r="F66" i="2"/>
  <c r="AH37" i="4"/>
  <c r="AH34" i="4"/>
  <c r="AH31" i="4"/>
  <c r="AH28" i="4"/>
  <c r="AH25" i="4"/>
  <c r="AH14" i="4"/>
  <c r="AG5" i="4"/>
  <c r="AG2" i="4"/>
  <c r="AG27" i="4" s="1"/>
  <c r="AE11" i="1"/>
  <c r="AE17" i="1"/>
  <c r="AF17" i="1" s="1"/>
  <c r="AH1" i="1"/>
  <c r="AK2" i="1" s="1"/>
  <c r="AF28" i="4" l="1"/>
  <c r="AG13" i="4"/>
  <c r="AF14" i="4" s="1"/>
  <c r="G65" i="2"/>
  <c r="AG30" i="4"/>
  <c r="AF31" i="4" s="1"/>
  <c r="AG33" i="4"/>
  <c r="AF34" i="4" s="1"/>
  <c r="AG36" i="4"/>
  <c r="AG17" i="4"/>
  <c r="AF18" i="4" s="1"/>
  <c r="AG24" i="4"/>
  <c r="AF25" i="4" s="1"/>
  <c r="AE18" i="1"/>
  <c r="AH2" i="1"/>
  <c r="AI1" i="1" s="1"/>
  <c r="AA38" i="1"/>
  <c r="AA37" i="1"/>
  <c r="AG62" i="1"/>
  <c r="AG61" i="1"/>
  <c r="D89" i="4"/>
  <c r="A61" i="4"/>
  <c r="A62" i="4" s="1"/>
  <c r="A63" i="4" s="1"/>
  <c r="A64" i="4" s="1"/>
  <c r="A65" i="4" s="1"/>
  <c r="A66" i="4" s="1"/>
  <c r="A67" i="4" s="1"/>
  <c r="A68" i="4" s="1"/>
  <c r="A69" i="4" s="1"/>
  <c r="A70" i="4" s="1"/>
  <c r="A71" i="4" s="1"/>
  <c r="A72" i="4" s="1"/>
  <c r="A73" i="4" s="1"/>
  <c r="A74" i="4" s="1"/>
  <c r="D61" i="4"/>
  <c r="A59" i="1"/>
  <c r="A60" i="1" s="1"/>
  <c r="A61" i="1" l="1"/>
  <c r="A62" i="1" s="1"/>
  <c r="A63" i="1" s="1"/>
  <c r="A64" i="1" s="1"/>
  <c r="A65" i="1" s="1"/>
  <c r="A66" i="1" s="1"/>
  <c r="A67" i="1" s="1"/>
  <c r="A68" i="1" s="1"/>
  <c r="A69" i="1" s="1"/>
  <c r="A70" i="1" s="1"/>
  <c r="A71" i="1" s="1"/>
  <c r="A72" i="1" s="1"/>
  <c r="A73" i="1" s="1"/>
  <c r="A74" i="1" s="1"/>
  <c r="A75" i="1" s="1"/>
  <c r="A76" i="1" s="1"/>
  <c r="H65" i="2"/>
  <c r="I65" i="2"/>
  <c r="AF37" i="4"/>
  <c r="AK1" i="1"/>
  <c r="AJ1" i="1"/>
  <c r="AF41" i="4"/>
  <c r="AF42" i="4"/>
  <c r="AF38" i="4"/>
  <c r="A77" i="1" l="1"/>
  <c r="A78" i="1" s="1"/>
  <c r="A79" i="1" s="1"/>
  <c r="A80" i="1" s="1"/>
  <c r="A81" i="1" s="1"/>
  <c r="A82" i="1" s="1"/>
  <c r="A83" i="1" s="1"/>
  <c r="A84" i="1" s="1"/>
  <c r="A85" i="1" s="1"/>
  <c r="A86" i="1" s="1"/>
  <c r="AI2" i="1"/>
  <c r="G66" i="2"/>
  <c r="J10" i="1"/>
  <c r="AD60" i="1" l="1"/>
  <c r="AD62" i="1"/>
  <c r="AD63" i="1"/>
  <c r="AD64" i="1"/>
  <c r="E25" i="1"/>
  <c r="E24" i="1" l="1"/>
  <c r="AE8" i="1"/>
  <c r="AE14" i="1"/>
  <c r="AF14" i="1" l="1"/>
  <c r="AE15" i="1" s="1"/>
  <c r="AG15" i="1"/>
  <c r="AF8" i="1"/>
  <c r="AE9" i="1" s="1"/>
  <c r="AF11" i="1"/>
  <c r="AE12" i="1" s="1"/>
  <c r="AE20" i="1"/>
  <c r="AE27" i="1" s="1"/>
  <c r="AF20" i="1" l="1"/>
  <c r="AE21" i="1" s="1"/>
  <c r="AE24" i="1"/>
  <c r="E10" i="1"/>
  <c r="E1" i="4" s="1"/>
  <c r="E4" i="4"/>
  <c r="S12" i="4"/>
  <c r="E13" i="4" s="1"/>
  <c r="AC56" i="4"/>
  <c r="AC55" i="4"/>
  <c r="AC54" i="4"/>
  <c r="AC52" i="4"/>
  <c r="AC51" i="4"/>
  <c r="Z56" i="4"/>
  <c r="Y57" i="4"/>
  <c r="Y56" i="4"/>
  <c r="AA53" i="4"/>
  <c r="Z53" i="4"/>
  <c r="Y53" i="4"/>
  <c r="Z51" i="4"/>
  <c r="Y51" i="4"/>
  <c r="W56" i="4"/>
  <c r="U56" i="4"/>
  <c r="U57" i="4"/>
  <c r="V54" i="4"/>
  <c r="W54" i="4"/>
  <c r="V55" i="4"/>
  <c r="W55" i="4"/>
  <c r="U55" i="4"/>
  <c r="U54" i="4"/>
  <c r="W51" i="4"/>
  <c r="U52" i="4"/>
  <c r="U51" i="4"/>
  <c r="U58" i="4" s="1"/>
  <c r="C26" i="4"/>
  <c r="T34" i="4" s="1"/>
  <c r="AF33" i="4"/>
  <c r="AF30" i="4"/>
  <c r="N21" i="4"/>
  <c r="N20" i="4"/>
  <c r="AF27" i="4"/>
  <c r="AF36" i="4"/>
  <c r="Y15" i="4"/>
  <c r="AF35" i="4" s="1"/>
  <c r="V22" i="4"/>
  <c r="AF24" i="4"/>
  <c r="AB20" i="4"/>
  <c r="AB19" i="4"/>
  <c r="H14" i="4"/>
  <c r="AF13" i="4"/>
  <c r="AF17" i="4"/>
  <c r="AF10" i="4"/>
  <c r="AK10" i="1"/>
  <c r="AI11" i="1"/>
  <c r="AI12" i="1" s="1"/>
  <c r="AI13" i="1" s="1"/>
  <c r="AI14" i="1" s="1"/>
  <c r="AI15" i="1" s="1"/>
  <c r="AI16" i="1" s="1"/>
  <c r="AI17" i="1" s="1"/>
  <c r="AI18" i="1" s="1"/>
  <c r="AI19" i="1" s="1"/>
  <c r="AI20" i="1" s="1"/>
  <c r="AI21" i="1" s="1"/>
  <c r="AI22" i="1" s="1"/>
  <c r="AI23" i="1" s="1"/>
  <c r="AI24" i="1" s="1"/>
  <c r="AI25" i="1" s="1"/>
  <c r="AI26" i="1" s="1"/>
  <c r="AI27" i="1" s="1"/>
  <c r="AI28" i="1" s="1"/>
  <c r="AI29" i="1" s="1"/>
  <c r="AI30" i="1" s="1"/>
  <c r="AI31" i="1" s="1"/>
  <c r="AI32" i="1" s="1"/>
  <c r="AI33" i="1" s="1"/>
  <c r="AI34" i="1" s="1"/>
  <c r="AI35" i="1" s="1"/>
  <c r="AI36" i="1" s="1"/>
  <c r="AI37" i="1" s="1"/>
  <c r="AI39" i="1" s="1"/>
  <c r="AI40" i="1" s="1"/>
  <c r="AI41" i="1" s="1"/>
  <c r="AI42" i="1" s="1"/>
  <c r="AI43" i="1" s="1"/>
  <c r="AI44" i="1" s="1"/>
  <c r="AI45" i="1" s="1"/>
  <c r="AI46" i="1" s="1"/>
  <c r="AI47" i="1" s="1"/>
  <c r="AI48" i="1" s="1"/>
  <c r="AI49" i="1" s="1"/>
  <c r="AI50" i="1" s="1"/>
  <c r="AI51" i="1" s="1"/>
  <c r="AI52" i="1" s="1"/>
  <c r="AI53" i="1" s="1"/>
  <c r="AI54" i="1" s="1"/>
  <c r="AI55" i="1" s="1"/>
  <c r="AI56" i="1" s="1"/>
  <c r="AI57" i="1" s="1"/>
  <c r="AI58" i="1" s="1"/>
  <c r="AI59" i="1" s="1"/>
  <c r="AI60" i="1" s="1"/>
  <c r="AI61" i="1" s="1"/>
  <c r="AI62" i="1" s="1"/>
  <c r="AI63" i="1" s="1"/>
  <c r="AI64" i="1" s="1"/>
  <c r="AI65" i="1" s="1"/>
  <c r="AI66" i="1" s="1"/>
  <c r="AI67" i="1" s="1"/>
  <c r="AI68" i="1" s="1"/>
  <c r="AI69" i="1" s="1"/>
  <c r="AI70" i="1" s="1"/>
  <c r="AI71" i="1" s="1"/>
  <c r="AI72" i="1" s="1"/>
  <c r="AI73" i="1" s="1"/>
  <c r="AI74" i="1" s="1"/>
  <c r="AJ11" i="1"/>
  <c r="AJ12" i="1" s="1"/>
  <c r="AJ13" i="1" s="1"/>
  <c r="AJ14" i="1" s="1"/>
  <c r="AJ15" i="1" s="1"/>
  <c r="AJ16" i="1" s="1"/>
  <c r="AJ17" i="1" s="1"/>
  <c r="AJ18" i="1" s="1"/>
  <c r="AJ19" i="1" s="1"/>
  <c r="AJ20" i="1" s="1"/>
  <c r="AJ21" i="1" s="1"/>
  <c r="AJ22" i="1" s="1"/>
  <c r="AJ23" i="1" s="1"/>
  <c r="AJ24" i="1" s="1"/>
  <c r="AJ25" i="1" s="1"/>
  <c r="AJ26" i="1" s="1"/>
  <c r="AJ27" i="1" s="1"/>
  <c r="AJ28" i="1" s="1"/>
  <c r="AJ29" i="1" s="1"/>
  <c r="AJ30" i="1" s="1"/>
  <c r="AJ31" i="1" s="1"/>
  <c r="AJ32" i="1" s="1"/>
  <c r="AJ33" i="1" s="1"/>
  <c r="AJ34" i="1" s="1"/>
  <c r="AJ35" i="1" s="1"/>
  <c r="AJ36" i="1" s="1"/>
  <c r="AJ37" i="1" s="1"/>
  <c r="AJ39" i="1" s="1"/>
  <c r="AJ40" i="1" s="1"/>
  <c r="AJ41" i="1" s="1"/>
  <c r="AJ42" i="1" s="1"/>
  <c r="AJ43" i="1" s="1"/>
  <c r="AJ44" i="1" s="1"/>
  <c r="AJ45" i="1" s="1"/>
  <c r="AJ46" i="1" s="1"/>
  <c r="AJ47" i="1" s="1"/>
  <c r="AJ48" i="1" s="1"/>
  <c r="AJ49" i="1" s="1"/>
  <c r="AJ50" i="1" s="1"/>
  <c r="AJ51" i="1" s="1"/>
  <c r="AJ52" i="1" s="1"/>
  <c r="AJ53" i="1" s="1"/>
  <c r="AJ54" i="1" s="1"/>
  <c r="AJ55" i="1" s="1"/>
  <c r="AJ56" i="1" s="1"/>
  <c r="AJ57" i="1" s="1"/>
  <c r="AJ58" i="1" s="1"/>
  <c r="AJ59" i="1" s="1"/>
  <c r="AJ60" i="1" s="1"/>
  <c r="AJ61" i="1" s="1"/>
  <c r="AJ62" i="1" s="1"/>
  <c r="AJ63" i="1" s="1"/>
  <c r="AJ64" i="1" s="1"/>
  <c r="AJ65" i="1" s="1"/>
  <c r="AJ66" i="1" s="1"/>
  <c r="AJ67" i="1" s="1"/>
  <c r="AJ68" i="1" s="1"/>
  <c r="AJ69" i="1" s="1"/>
  <c r="AJ70" i="1" s="1"/>
  <c r="AJ71" i="1" s="1"/>
  <c r="AJ72" i="1" s="1"/>
  <c r="AJ73" i="1" s="1"/>
  <c r="AJ74" i="1" s="1"/>
  <c r="AJ75" i="1" s="1"/>
  <c r="AJ76" i="1" s="1"/>
  <c r="AJ80" i="1" s="1"/>
  <c r="AJ81" i="1" s="1"/>
  <c r="AJ82" i="1" s="1"/>
  <c r="AJ83" i="1" s="1"/>
  <c r="AJ84" i="1" s="1"/>
  <c r="AJ85" i="1" s="1"/>
  <c r="AJ86" i="1" s="1"/>
  <c r="AJ87" i="1" s="1"/>
  <c r="AJ88" i="1" s="1"/>
  <c r="AJ89" i="1" s="1"/>
  <c r="AJ90" i="1" s="1"/>
  <c r="AJ91" i="1" s="1"/>
  <c r="AJ92" i="1" s="1"/>
  <c r="AJ93" i="1" s="1"/>
  <c r="AJ94" i="1" s="1"/>
  <c r="AJ95" i="1" s="1"/>
  <c r="AJ96" i="1" s="1"/>
  <c r="AJ97" i="1" s="1"/>
  <c r="AJ98" i="1" s="1"/>
  <c r="AJ99" i="1" s="1"/>
  <c r="AJ100" i="1" s="1"/>
  <c r="AJ101" i="1" s="1"/>
  <c r="AJ102" i="1" s="1"/>
  <c r="AJ103" i="1" s="1"/>
  <c r="AJ104" i="1" s="1"/>
  <c r="AJ105" i="1" s="1"/>
  <c r="AJ106" i="1" s="1"/>
  <c r="AJ107" i="1" s="1"/>
  <c r="AJ108" i="1" s="1"/>
  <c r="AJ109" i="1" s="1"/>
  <c r="AJ110" i="1" s="1"/>
  <c r="AJ111" i="1" s="1"/>
  <c r="AJ112" i="1" s="1"/>
  <c r="AJ113" i="1" s="1"/>
  <c r="AJ114" i="1" s="1"/>
  <c r="AJ115" i="1" s="1"/>
  <c r="AJ116" i="1" s="1"/>
  <c r="AJ117" i="1" s="1"/>
  <c r="AJ118" i="1" s="1"/>
  <c r="AJ119" i="1" s="1"/>
  <c r="AJ120" i="1" s="1"/>
  <c r="AJ121" i="1" s="1"/>
  <c r="AJ122" i="1" s="1"/>
  <c r="AJ123" i="1" s="1"/>
  <c r="AJ124" i="1" s="1"/>
  <c r="AJ125" i="1" s="1"/>
  <c r="AJ126" i="1" s="1"/>
  <c r="AJ127" i="1" s="1"/>
  <c r="AJ128" i="1" s="1"/>
  <c r="AJ129" i="1" s="1"/>
  <c r="AJ130" i="1" s="1"/>
  <c r="AJ131" i="1" s="1"/>
  <c r="AJ132" i="1" s="1"/>
  <c r="AJ133" i="1" s="1"/>
  <c r="AJ134" i="1" s="1"/>
  <c r="AJ135" i="1" s="1"/>
  <c r="AJ136" i="1" s="1"/>
  <c r="AJ137" i="1" s="1"/>
  <c r="AJ138" i="1" s="1"/>
  <c r="AJ139" i="1" s="1"/>
  <c r="AJ140" i="1" s="1"/>
  <c r="AJ141" i="1" s="1"/>
  <c r="AJ142" i="1" s="1"/>
  <c r="AK11" i="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10" i="1"/>
  <c r="AK111" i="1"/>
  <c r="AK112" i="1"/>
  <c r="AK113" i="1"/>
  <c r="AK114" i="1"/>
  <c r="AK115" i="1"/>
  <c r="AK116" i="1"/>
  <c r="AK117" i="1"/>
  <c r="AK118" i="1"/>
  <c r="AK119" i="1"/>
  <c r="AK120" i="1"/>
  <c r="AK121" i="1"/>
  <c r="AK122" i="1"/>
  <c r="AK123" i="1"/>
  <c r="AK124" i="1"/>
  <c r="AK125" i="1"/>
  <c r="AK126" i="1"/>
  <c r="AK127" i="1"/>
  <c r="AK128" i="1"/>
  <c r="AK129" i="1"/>
  <c r="AK130" i="1"/>
  <c r="AK131" i="1"/>
  <c r="AK132" i="1"/>
  <c r="AK133" i="1"/>
  <c r="AK134" i="1"/>
  <c r="AK135" i="1"/>
  <c r="AK136" i="1"/>
  <c r="AK137" i="1"/>
  <c r="AK138" i="1"/>
  <c r="AK139" i="1"/>
  <c r="AK140" i="1"/>
  <c r="AK141" i="1"/>
  <c r="AK142" i="1"/>
  <c r="L40" i="1"/>
  <c r="N40" i="1" s="1"/>
  <c r="AE40" i="1"/>
  <c r="K38" i="1" s="1"/>
  <c r="AE43" i="1"/>
  <c r="L46" i="1"/>
  <c r="N46" i="1" s="1"/>
  <c r="L44" i="1"/>
  <c r="N44" i="1" s="1"/>
  <c r="U39" i="1"/>
  <c r="E27" i="1"/>
  <c r="C40" i="1"/>
  <c r="S51" i="1" s="1"/>
  <c r="N35" i="1"/>
  <c r="N34" i="1"/>
  <c r="AE30" i="1"/>
  <c r="H21" i="1"/>
  <c r="AE75" i="1"/>
  <c r="H28" i="1"/>
  <c r="E19" i="1"/>
  <c r="S7" i="1"/>
  <c r="E23" i="1"/>
  <c r="AE36" i="1"/>
  <c r="K20" i="1"/>
  <c r="X33" i="1"/>
  <c r="AE42" i="1" s="1"/>
  <c r="AE33" i="1"/>
  <c r="L19" i="1"/>
  <c r="E11" i="1"/>
  <c r="E2" i="4" s="1"/>
  <c r="L7" i="1"/>
  <c r="L1" i="4" s="1"/>
  <c r="H22" i="1"/>
  <c r="E20" i="1"/>
  <c r="AG18" i="1" l="1"/>
  <c r="AG9" i="1"/>
  <c r="AG12" i="1"/>
  <c r="L38" i="1"/>
  <c r="K23" i="4"/>
  <c r="L23" i="4"/>
  <c r="K22" i="4"/>
  <c r="L22" i="4"/>
  <c r="L24" i="4"/>
  <c r="C24" i="4"/>
  <c r="AF9" i="1"/>
  <c r="AI75" i="1"/>
  <c r="AI76" i="1" s="1"/>
  <c r="AI78" i="1" s="1"/>
  <c r="L66" i="2"/>
  <c r="M66" i="2"/>
  <c r="AG25" i="4"/>
  <c r="AG14" i="4"/>
  <c r="AG18" i="4"/>
  <c r="AF18" i="1"/>
  <c r="E28" i="1" s="1"/>
  <c r="AH18" i="4"/>
  <c r="AG34" i="4"/>
  <c r="AG28" i="4"/>
  <c r="AG31" i="4"/>
  <c r="AG37" i="4"/>
  <c r="AJ2" i="1"/>
  <c r="AF12" i="1"/>
  <c r="AF15" i="1"/>
  <c r="AF50" i="4"/>
  <c r="E14" i="4"/>
  <c r="E17" i="4"/>
  <c r="E15" i="4"/>
  <c r="J13" i="4"/>
  <c r="AF52" i="4"/>
  <c r="J16" i="4"/>
  <c r="AB14" i="4"/>
  <c r="E18" i="4"/>
  <c r="E16" i="4"/>
  <c r="J14" i="4"/>
  <c r="J17" i="4"/>
  <c r="J15" i="4"/>
  <c r="J27" i="1"/>
  <c r="AE74" i="1"/>
  <c r="AE72" i="1"/>
  <c r="AD72" i="1" s="1"/>
  <c r="E31" i="1"/>
  <c r="P61" i="1" s="1"/>
  <c r="L22" i="1"/>
  <c r="AA31" i="1"/>
  <c r="D60" i="1" s="1"/>
  <c r="AD61" i="1" s="1"/>
  <c r="C51" i="1" s="1"/>
  <c r="E30" i="1"/>
  <c r="S13" i="4"/>
  <c r="AH11" i="4"/>
  <c r="AG10" i="4"/>
  <c r="AF11" i="4" s="1"/>
  <c r="AG11" i="4" s="1"/>
  <c r="AF36" i="1"/>
  <c r="AE37" i="1" s="1"/>
  <c r="AG37" i="1" s="1"/>
  <c r="AF33" i="1"/>
  <c r="AE34" i="1" s="1"/>
  <c r="AG34" i="1" s="1"/>
  <c r="AF40" i="1"/>
  <c r="AE41" i="1" s="1"/>
  <c r="AG41" i="1" s="1"/>
  <c r="AF43" i="1"/>
  <c r="AE44" i="1" s="1"/>
  <c r="AG44" i="1" s="1"/>
  <c r="AF30" i="1"/>
  <c r="AE31" i="1" s="1"/>
  <c r="AF31" i="1" s="1"/>
  <c r="E32" i="1" s="1"/>
  <c r="AF24" i="1"/>
  <c r="AE25" i="1" s="1"/>
  <c r="AG25" i="1" s="1"/>
  <c r="E21" i="1"/>
  <c r="E22" i="1"/>
  <c r="AF53" i="4"/>
  <c r="AF51" i="4"/>
  <c r="AI80" i="1" l="1"/>
  <c r="AI81" i="1" s="1"/>
  <c r="AI82" i="1" s="1"/>
  <c r="AI83" i="1" s="1"/>
  <c r="AI84" i="1" s="1"/>
  <c r="AI85" i="1" s="1"/>
  <c r="AI86" i="1" s="1"/>
  <c r="AI87" i="1" s="1"/>
  <c r="AI88" i="1" s="1"/>
  <c r="AI89" i="1" s="1"/>
  <c r="AI90" i="1" s="1"/>
  <c r="AI91" i="1" s="1"/>
  <c r="AI92" i="1" s="1"/>
  <c r="AI93" i="1" s="1"/>
  <c r="AI94" i="1" s="1"/>
  <c r="AI95" i="1" s="1"/>
  <c r="AI96" i="1" s="1"/>
  <c r="AI97" i="1" s="1"/>
  <c r="AI98" i="1" s="1"/>
  <c r="AI99" i="1" s="1"/>
  <c r="AI100" i="1" s="1"/>
  <c r="AI101" i="1" s="1"/>
  <c r="AI102" i="1" s="1"/>
  <c r="AI103" i="1" s="1"/>
  <c r="AI104" i="1" s="1"/>
  <c r="AI105" i="1" s="1"/>
  <c r="AI106" i="1" s="1"/>
  <c r="AI107" i="1" s="1"/>
  <c r="AI108" i="1" s="1"/>
  <c r="AI109" i="1" s="1"/>
  <c r="AI110" i="1" s="1"/>
  <c r="AI111" i="1" s="1"/>
  <c r="AI112" i="1" s="1"/>
  <c r="AI113" i="1" s="1"/>
  <c r="AI114" i="1" s="1"/>
  <c r="AI115" i="1" s="1"/>
  <c r="AI116" i="1" s="1"/>
  <c r="AI117" i="1" s="1"/>
  <c r="AI118" i="1" s="1"/>
  <c r="AI119" i="1" s="1"/>
  <c r="AI120" i="1" s="1"/>
  <c r="AI121" i="1" s="1"/>
  <c r="AI122" i="1" s="1"/>
  <c r="AI123" i="1" s="1"/>
  <c r="AI124" i="1" s="1"/>
  <c r="AI125" i="1" s="1"/>
  <c r="AI126" i="1" s="1"/>
  <c r="AI127" i="1" s="1"/>
  <c r="AI128" i="1" s="1"/>
  <c r="AI129" i="1" s="1"/>
  <c r="AI130" i="1" s="1"/>
  <c r="AI131" i="1" s="1"/>
  <c r="AI132" i="1" s="1"/>
  <c r="AI133" i="1" s="1"/>
  <c r="AI134" i="1" s="1"/>
  <c r="AI135" i="1" s="1"/>
  <c r="AI136" i="1" s="1"/>
  <c r="AI137" i="1" s="1"/>
  <c r="AI138" i="1" s="1"/>
  <c r="AI139" i="1" s="1"/>
  <c r="AI140" i="1" s="1"/>
  <c r="AI141" i="1" s="1"/>
  <c r="AI142" i="1" s="1"/>
  <c r="AI79" i="1"/>
  <c r="N41" i="1"/>
  <c r="L39" i="1"/>
  <c r="N24" i="4"/>
  <c r="AG31" i="1"/>
  <c r="I66" i="2"/>
  <c r="L26" i="4"/>
  <c r="N26" i="4" s="1"/>
  <c r="L30" i="4"/>
  <c r="N30" i="4" s="1"/>
  <c r="L32" i="4"/>
  <c r="N32" i="4" s="1"/>
  <c r="D62" i="4"/>
  <c r="AF39" i="4" s="1"/>
  <c r="AE50" i="4"/>
  <c r="AE51" i="4" s="1"/>
  <c r="AG20" i="4"/>
  <c r="AF22" i="4" s="1"/>
  <c r="AF34" i="1"/>
  <c r="AF41" i="1"/>
  <c r="J31" i="1" s="1"/>
  <c r="AF37" i="1"/>
  <c r="AF44" i="1"/>
  <c r="J28" i="1" s="1"/>
  <c r="AF25" i="1"/>
  <c r="E29" i="1" s="1"/>
  <c r="AF27" i="1"/>
  <c r="AE28" i="1" s="1"/>
  <c r="AG28" i="1" s="1"/>
  <c r="H20" i="1"/>
  <c r="K23" i="1"/>
  <c r="M23" i="1"/>
  <c r="H66" i="2" l="1"/>
  <c r="L25" i="4"/>
  <c r="L27" i="4" s="1"/>
  <c r="N25" i="4"/>
  <c r="N27" i="4" s="1"/>
  <c r="AF40" i="4"/>
  <c r="C38" i="4" s="1"/>
  <c r="P63" i="4"/>
  <c r="AE52" i="4"/>
  <c r="AE53" i="4" s="1"/>
  <c r="AH22" i="4"/>
  <c r="AG22" i="4"/>
  <c r="AF28" i="1"/>
  <c r="J30" i="1" s="1"/>
  <c r="H19" i="1"/>
  <c r="AG21" i="1"/>
  <c r="AF21" i="1"/>
  <c r="J29" i="1" s="1"/>
  <c r="L41" i="1"/>
  <c r="AE73" i="1"/>
  <c r="AD73" i="1" s="1"/>
  <c r="L31" i="4" l="1"/>
  <c r="N31" i="4"/>
  <c r="N29" i="4"/>
  <c r="AF56" i="4"/>
  <c r="AF58" i="4"/>
  <c r="AF57" i="4"/>
  <c r="AF55" i="4"/>
  <c r="N43" i="1"/>
  <c r="N45" i="1"/>
  <c r="AD74" i="1"/>
  <c r="AD75" i="1" s="1"/>
  <c r="AD76" i="1" s="1"/>
  <c r="L29" i="4"/>
  <c r="L33" i="4" s="1"/>
  <c r="K34" i="4" s="1"/>
  <c r="L43" i="1"/>
  <c r="L45" i="1"/>
  <c r="AD78" i="1" l="1"/>
  <c r="AD77" i="1"/>
  <c r="AE82" i="1"/>
  <c r="AD79" i="1"/>
  <c r="N33" i="4"/>
  <c r="N34" i="4" s="1"/>
  <c r="S1" i="4"/>
  <c r="N47" i="1"/>
  <c r="N48" i="1" s="1"/>
  <c r="AE84" i="1"/>
  <c r="AE81" i="1"/>
  <c r="AE85" i="1"/>
  <c r="AE83" i="1"/>
  <c r="L47" i="1"/>
  <c r="K48" i="1" s="1"/>
  <c r="R1" i="1" l="1"/>
</calcChain>
</file>

<file path=xl/comments1.xml><?xml version="1.0" encoding="utf-8"?>
<comments xmlns="http://schemas.openxmlformats.org/spreadsheetml/2006/main">
  <authors>
    <author>Bill Saffian</author>
    <author>n18wps</author>
  </authors>
  <commentList>
    <comment ref="Q2" authorId="0">
      <text>
        <r>
          <rPr>
            <sz val="10"/>
            <color indexed="81"/>
            <rFont val="Tahoma"/>
            <family val="2"/>
          </rPr>
          <t>If there are messages to display, the message box at the right will be white in color with bold red text indicating the message.  There are currently 3 possible messages to display.  If there are no message, the message box will be blue.</t>
        </r>
      </text>
    </comment>
    <comment ref="Q8" authorId="0">
      <text>
        <r>
          <rPr>
            <sz val="10"/>
            <color indexed="81"/>
            <rFont val="Tahoma"/>
            <family val="2"/>
          </rPr>
          <t xml:space="preserve">These initials show at the bottom of the printed output as the preparer of the estimate. </t>
        </r>
      </text>
    </comment>
    <comment ref="W8" authorId="0">
      <text>
        <r>
          <rPr>
            <sz val="10"/>
            <color indexed="81"/>
            <rFont val="Tahoma"/>
            <family val="2"/>
          </rPr>
          <t xml:space="preserve">This input is only to be changed if the file is "Saved as" a new version and will require that the sheet protection be turned off to manipulate.  It is used to mark the foot note on the printed output as to what version the file is associated with.  A change to this input cell should be accompanied by version notes on the "Version" tab. </t>
        </r>
      </text>
    </comment>
    <comment ref="Q13" authorId="0">
      <text>
        <r>
          <rPr>
            <sz val="10"/>
            <color indexed="81"/>
            <rFont val="Tahoma"/>
            <family val="2"/>
          </rPr>
          <t xml:space="preserve">If the bridge in on a redlist, indicate which list it is on:
</t>
        </r>
        <r>
          <rPr>
            <b/>
            <sz val="10"/>
            <color indexed="81"/>
            <rFont val="Tahoma"/>
            <family val="2"/>
          </rPr>
          <t>Municipal Redlist
State Redlist</t>
        </r>
        <r>
          <rPr>
            <sz val="10"/>
            <color indexed="81"/>
            <rFont val="Tahoma"/>
            <family val="2"/>
          </rPr>
          <t xml:space="preserve">
If the bridge is not on a redlist, </t>
        </r>
        <r>
          <rPr>
            <b/>
            <sz val="10"/>
            <color indexed="81"/>
            <rFont val="Tahoma"/>
            <family val="2"/>
          </rPr>
          <t>leave blank</t>
        </r>
        <r>
          <rPr>
            <sz val="10"/>
            <color indexed="81"/>
            <rFont val="Tahoma"/>
            <family val="2"/>
          </rPr>
          <t>!</t>
        </r>
      </text>
    </comment>
    <comment ref="S13" authorId="0">
      <text>
        <r>
          <rPr>
            <u/>
            <sz val="10"/>
            <color indexed="81"/>
            <rFont val="Tahoma"/>
            <family val="2"/>
          </rPr>
          <t>For State Red List only:</t>
        </r>
        <r>
          <rPr>
            <sz val="10"/>
            <color indexed="81"/>
            <rFont val="Tahoma"/>
            <family val="2"/>
          </rPr>
          <t xml:space="preserve">
Input the priority number of the bridge in the following format: "## (yyyy)"  i.e. </t>
        </r>
        <r>
          <rPr>
            <b/>
            <sz val="10"/>
            <color indexed="81"/>
            <rFont val="Tahoma"/>
            <family val="2"/>
          </rPr>
          <t>23 (2012)</t>
        </r>
        <r>
          <rPr>
            <sz val="10"/>
            <color indexed="81"/>
            <rFont val="Tahoma"/>
            <family val="2"/>
          </rPr>
          <t xml:space="preserve"> 
If bridge not on red list, </t>
        </r>
        <r>
          <rPr>
            <b/>
            <sz val="10"/>
            <color indexed="81"/>
            <rFont val="Tahoma"/>
            <family val="2"/>
          </rPr>
          <t>Leave Blank</t>
        </r>
        <r>
          <rPr>
            <sz val="10"/>
            <color indexed="81"/>
            <rFont val="Tahoma"/>
            <family val="2"/>
          </rPr>
          <t>!</t>
        </r>
      </text>
    </comment>
    <comment ref="Q14" authorId="0">
      <text>
        <r>
          <rPr>
            <sz val="10"/>
            <color indexed="81"/>
            <rFont val="Tahoma"/>
            <family val="2"/>
          </rPr>
          <t xml:space="preserve">This </t>
        </r>
        <r>
          <rPr>
            <b/>
            <sz val="10"/>
            <color indexed="81"/>
            <rFont val="Tahoma"/>
            <family val="2"/>
          </rPr>
          <t>'Alternative Comment'</t>
        </r>
        <r>
          <rPr>
            <sz val="10"/>
            <color indexed="81"/>
            <rFont val="Tahoma"/>
            <family val="2"/>
          </rPr>
          <t xml:space="preserve"> input cell allows the user to place a comment </t>
        </r>
        <r>
          <rPr>
            <u/>
            <sz val="10"/>
            <color indexed="81"/>
            <rFont val="Tahoma"/>
            <family val="2"/>
          </rPr>
          <t>instead</t>
        </r>
        <r>
          <rPr>
            <sz val="10"/>
            <color indexed="81"/>
            <rFont val="Tahoma"/>
            <family val="2"/>
          </rPr>
          <t xml:space="preserve"> of the </t>
        </r>
        <r>
          <rPr>
            <b/>
            <sz val="10"/>
            <color indexed="81"/>
            <rFont val="Tahoma"/>
            <family val="2"/>
          </rPr>
          <t>'State/Muni Redlist?'</t>
        </r>
        <r>
          <rPr>
            <sz val="10"/>
            <color indexed="81"/>
            <rFont val="Tahoma"/>
            <family val="2"/>
          </rPr>
          <t xml:space="preserve"> information.  This 'Alternative Comment' will be displayed on the output sheet </t>
        </r>
        <r>
          <rPr>
            <u/>
            <sz val="10"/>
            <color indexed="81"/>
            <rFont val="Tahoma"/>
            <family val="2"/>
          </rPr>
          <t>only if</t>
        </r>
        <r>
          <rPr>
            <sz val="10"/>
            <color indexed="81"/>
            <rFont val="Tahoma"/>
            <family val="2"/>
          </rPr>
          <t xml:space="preserve"> the 'Stat/Muni Redlist?' input value is blank.
If the 'Alternative Comment'  is not to be used, </t>
        </r>
        <r>
          <rPr>
            <b/>
            <sz val="10"/>
            <color indexed="81"/>
            <rFont val="Tahoma"/>
            <family val="2"/>
          </rPr>
          <t>leave blank</t>
        </r>
        <r>
          <rPr>
            <sz val="10"/>
            <color indexed="81"/>
            <rFont val="Tahoma"/>
            <family val="2"/>
          </rPr>
          <t>!</t>
        </r>
      </text>
    </comment>
    <comment ref="Q17" authorId="0">
      <text>
        <r>
          <rPr>
            <sz val="10"/>
            <color indexed="81"/>
            <rFont val="Tahoma"/>
            <family val="2"/>
          </rPr>
          <t>If year built is not known, input "</t>
        </r>
        <r>
          <rPr>
            <b/>
            <sz val="10"/>
            <color indexed="81"/>
            <rFont val="Tahoma"/>
            <family val="2"/>
          </rPr>
          <t>Unknown</t>
        </r>
        <r>
          <rPr>
            <sz val="10"/>
            <color indexed="81"/>
            <rFont val="Tahoma"/>
            <family val="2"/>
          </rPr>
          <t>"</t>
        </r>
      </text>
    </comment>
    <comment ref="Q19" authorId="0">
      <text>
        <r>
          <rPr>
            <sz val="10"/>
            <color indexed="81"/>
            <rFont val="Tahoma"/>
            <family val="2"/>
          </rPr>
          <t>The user has the option of inputing both present and future values.  If the user wishes, only one set of data can be entered (in the "Present" cells) and the estimate will present only that one set of data.</t>
        </r>
      </text>
    </comment>
    <comment ref="W19" authorId="0">
      <text>
        <r>
          <rPr>
            <sz val="10"/>
            <color indexed="81"/>
            <rFont val="Tahoma"/>
            <family val="2"/>
          </rPr>
          <t xml:space="preserve">The user should clarify what the existing width value represents with a comment such as "out/out", "Rail/Rail" or "Pipe Length".
If the width is constant, input </t>
        </r>
        <r>
          <rPr>
            <b/>
            <sz val="10"/>
            <color indexed="81"/>
            <rFont val="Tahoma"/>
            <family val="2"/>
          </rPr>
          <t>Width(1)</t>
        </r>
        <r>
          <rPr>
            <sz val="10"/>
            <color indexed="81"/>
            <rFont val="Tahoma"/>
            <family val="2"/>
          </rPr>
          <t xml:space="preserve"> only.  If it varies, input the start and end range values as </t>
        </r>
        <r>
          <rPr>
            <b/>
            <sz val="10"/>
            <color indexed="81"/>
            <rFont val="Tahoma"/>
            <family val="2"/>
          </rPr>
          <t>Width(1)</t>
        </r>
        <r>
          <rPr>
            <sz val="10"/>
            <color indexed="81"/>
            <rFont val="Tahoma"/>
            <family val="2"/>
          </rPr>
          <t xml:space="preserve"> and </t>
        </r>
        <r>
          <rPr>
            <b/>
            <sz val="10"/>
            <color indexed="81"/>
            <rFont val="Tahoma"/>
            <family val="2"/>
          </rPr>
          <t>Width(2)</t>
        </r>
        <r>
          <rPr>
            <sz val="10"/>
            <color indexed="81"/>
            <rFont val="Tahoma"/>
            <family val="2"/>
          </rPr>
          <t xml:space="preserve">.
</t>
        </r>
        <r>
          <rPr>
            <b/>
            <sz val="10"/>
            <color indexed="81"/>
            <rFont val="Tahoma"/>
            <family val="2"/>
          </rPr>
          <t xml:space="preserve">
Note:</t>
        </r>
        <r>
          <rPr>
            <sz val="10"/>
            <color indexed="81"/>
            <rFont val="Tahoma"/>
            <family val="2"/>
          </rPr>
          <t xml:space="preserve">  Values presented on printed page are  rounded to nearest 1" </t>
        </r>
      </text>
    </comment>
    <comment ref="AA20" authorId="0">
      <text>
        <r>
          <rPr>
            <u/>
            <sz val="10"/>
            <color indexed="81"/>
            <rFont val="Tahoma"/>
            <family val="2"/>
          </rPr>
          <t>From pull down menu:</t>
        </r>
        <r>
          <rPr>
            <sz val="10"/>
            <color indexed="81"/>
            <rFont val="Tahoma"/>
            <family val="2"/>
          </rPr>
          <t xml:space="preserve">  
If bridge over roadway, input "N/A".  If no Hydraulic Data is available, choose "None Available" and input nothing for the Q50 and Q100 cells.  Else choose "Fema" or "Stream Stats" and input either or both of the Q50 or Q100 values.
</t>
        </r>
        <r>
          <rPr>
            <b/>
            <sz val="10"/>
            <color indexed="81"/>
            <rFont val="Tahoma"/>
            <family val="2"/>
          </rPr>
          <t>Note:</t>
        </r>
        <r>
          <rPr>
            <sz val="10"/>
            <color indexed="81"/>
            <rFont val="Tahoma"/>
            <family val="2"/>
          </rPr>
          <t xml:space="preserve">  Use "FEMA" info over "Stream Stats" if both are available.
</t>
        </r>
        <r>
          <rPr>
            <b/>
            <sz val="10"/>
            <color indexed="81"/>
            <rFont val="Tahoma"/>
            <family val="2"/>
          </rPr>
          <t>Note:</t>
        </r>
        <r>
          <rPr>
            <sz val="10"/>
            <color indexed="81"/>
            <rFont val="Tahoma"/>
            <family val="2"/>
          </rPr>
          <t xml:space="preserve">  Values on output sheet will indicate "n/a" regardless of input if the Type of bridge indicates "Rehab. of Exist. Br." </t>
        </r>
      </text>
    </comment>
    <comment ref="W21" authorId="0">
      <text>
        <r>
          <rPr>
            <sz val="10"/>
            <color indexed="81"/>
            <rFont val="Tahoma"/>
            <family val="2"/>
          </rPr>
          <t>Input the Federal Sufficiency Rating if known.</t>
        </r>
      </text>
    </comment>
    <comment ref="Q22" authorId="0">
      <text>
        <r>
          <rPr>
            <sz val="10"/>
            <color indexed="81"/>
            <rFont val="Tahoma"/>
            <family val="2"/>
          </rPr>
          <t>Input the detour length in miles.  If there is no detour (i.e. a deadend road), the input of distance can be omitted and in the cell to the right, choose "Dead End" from the pull down menu.  This will cause the mileage value to be ignored and the verbiage of "Dead End" to be written on the memo.</t>
        </r>
      </text>
    </comment>
    <comment ref="Q23" authorId="0">
      <text>
        <r>
          <rPr>
            <sz val="9.5"/>
            <color indexed="81"/>
            <rFont val="Tahoma"/>
            <family val="2"/>
          </rPr>
          <t xml:space="preserve">PONTIS Definition of Entries (from inspection report):
1. </t>
        </r>
        <r>
          <rPr>
            <u/>
            <sz val="9.5"/>
            <color indexed="81"/>
            <rFont val="Tahoma"/>
            <family val="2"/>
          </rPr>
          <t>On Register (Historic)</t>
        </r>
        <r>
          <rPr>
            <sz val="9.5"/>
            <color indexed="81"/>
            <rFont val="Tahoma"/>
            <family val="2"/>
          </rPr>
          <t xml:space="preserve">:  Bridge is on National Register of Historic Places.
2. </t>
        </r>
        <r>
          <rPr>
            <u/>
            <sz val="9.5"/>
            <color indexed="81"/>
            <rFont val="Tahoma"/>
            <family val="2"/>
          </rPr>
          <t>Eligible (Historic)</t>
        </r>
        <r>
          <rPr>
            <sz val="9.5"/>
            <color indexed="81"/>
            <rFont val="Tahoma"/>
            <family val="2"/>
          </rPr>
          <t xml:space="preserve">:  Bridge is eligible for the National Register of Historic Places.  
3. </t>
        </r>
        <r>
          <rPr>
            <u/>
            <sz val="9.5"/>
            <color indexed="81"/>
            <rFont val="Tahoma"/>
            <family val="2"/>
          </rPr>
          <t>Possibly Eligible</t>
        </r>
        <r>
          <rPr>
            <sz val="9.5"/>
            <color indexed="81"/>
            <rFont val="Tahoma"/>
            <family val="2"/>
          </rPr>
          <t xml:space="preserve">:  Bridge is possibly eligible for the National Register of Historic Places (Requires Further Investigation).  
4. </t>
        </r>
        <r>
          <rPr>
            <u/>
            <sz val="9.5"/>
            <color indexed="81"/>
            <rFont val="Tahoma"/>
            <family val="2"/>
          </rPr>
          <t>Not Determinable</t>
        </r>
        <r>
          <rPr>
            <sz val="9.5"/>
            <color indexed="81"/>
            <rFont val="Tahoma"/>
            <family val="2"/>
          </rPr>
          <t xml:space="preserve">:  Historic Significance is not determinable at this time.  
5.  </t>
        </r>
        <r>
          <rPr>
            <u/>
            <sz val="9.5"/>
            <color indexed="81"/>
            <rFont val="Tahoma"/>
            <family val="2"/>
          </rPr>
          <t>Not Eligible</t>
        </r>
        <r>
          <rPr>
            <sz val="9.5"/>
            <color indexed="81"/>
            <rFont val="Tahoma"/>
            <family val="2"/>
          </rPr>
          <t xml:space="preserve">:  Bridge is not eligible for the National Register of Historic Places.
Memo Logic:
Step 1:  Is input value 1 or 2?
   Yes:  Memo indicates the Pontis value.
   No:  Go to Step 2
Step 2:  Is Age &lt; 50 Years?
   Yes:  Is Input Value 5?
                Yes:  Memo indicates "No"
                No:  Memo indicates "Potentially Historic"
                       for Input Value of 3 &amp; 4.
   No: Memo indicatates "Potentially Due To Age"
</t>
        </r>
        <r>
          <rPr>
            <b/>
            <sz val="9.5"/>
            <color indexed="81"/>
            <rFont val="Tahoma"/>
            <family val="2"/>
          </rPr>
          <t>Note:</t>
        </r>
        <r>
          <rPr>
            <sz val="9.5"/>
            <color indexed="81"/>
            <rFont val="Tahoma"/>
            <family val="2"/>
          </rPr>
          <t xml:space="preserve">  The PONTIS program uses a threshhold of 40 years to toggle its potential historic classification under the idea that it gives the municipality a heads up that the age is getting close to the actual threshold of 50 years, anticipating 10 years to get the bridge built once the project is initiated (per Dave Powelson).</t>
        </r>
      </text>
    </comment>
    <comment ref="W23" authorId="0">
      <text>
        <r>
          <rPr>
            <sz val="10"/>
            <color indexed="81"/>
            <rFont val="Tahoma"/>
            <family val="2"/>
          </rPr>
          <t xml:space="preserve">From the pull down menu, pick the posting designation.  If posting designation of "Wgt Lmt", </t>
        </r>
        <r>
          <rPr>
            <u/>
            <sz val="10"/>
            <color indexed="81"/>
            <rFont val="Tahoma"/>
            <family val="2"/>
          </rPr>
          <t>additionally</t>
        </r>
        <r>
          <rPr>
            <sz val="10"/>
            <color indexed="81"/>
            <rFont val="Tahoma"/>
            <family val="2"/>
          </rPr>
          <t xml:space="preserve"> input the posting tonnage.  If posting designation is other then "Wgt Lmt", user may use "Tons/Comment" input cell to input a comment. Alternatively, the user may leave the designation blank and use the comment to write the complete sign notation such as "Gross Load Limit 15T or 80% of Legal Loads".</t>
        </r>
      </text>
    </comment>
    <comment ref="Q26" authorId="0">
      <text>
        <r>
          <rPr>
            <sz val="10"/>
            <color indexed="81"/>
            <rFont val="Tahoma"/>
            <family val="2"/>
          </rPr>
          <t xml:space="preserve">Choose "Bridge Type" from pull down menu lists for both Estimate 1 and Estimate 2.
</t>
        </r>
        <r>
          <rPr>
            <u/>
            <sz val="10"/>
            <color indexed="81"/>
            <rFont val="Tahoma"/>
            <family val="2"/>
          </rPr>
          <t>Review the Town application to see if the Town is requesting a replacement or rehabilitation estimate.</t>
        </r>
        <r>
          <rPr>
            <sz val="10"/>
            <color indexed="81"/>
            <rFont val="Tahoma"/>
            <family val="2"/>
          </rPr>
          <t xml:space="preserve">
</t>
        </r>
        <r>
          <rPr>
            <b/>
            <sz val="10"/>
            <color indexed="81"/>
            <rFont val="Tahoma"/>
            <family val="2"/>
          </rPr>
          <t>Estimate 1:</t>
        </r>
        <r>
          <rPr>
            <sz val="10"/>
            <color indexed="81"/>
            <rFont val="Tahoma"/>
            <family val="2"/>
          </rPr>
          <t xml:space="preserve">  Considered the primary estimate and is calculated on the Pg 1 tab of the spreadsheet.  All other input (except the Estimate 2 type) on this tab pertains to this primary estimate.
</t>
        </r>
        <r>
          <rPr>
            <b/>
            <sz val="10"/>
            <color indexed="81"/>
            <rFont val="Tahoma"/>
            <family val="2"/>
          </rPr>
          <t>Estimate 2:</t>
        </r>
        <r>
          <rPr>
            <sz val="10"/>
            <color indexed="81"/>
            <rFont val="Tahoma"/>
            <family val="2"/>
          </rPr>
          <t xml:space="preserve">  Considered the secondary estimate and is calculated on the Estimate Pg 2 tab of the spreadsheet.  All other input pertaining to the secondary estimate is input on the Pg 2 tab.
</t>
        </r>
        <r>
          <rPr>
            <b/>
            <sz val="10"/>
            <color indexed="81"/>
            <rFont val="Tahoma"/>
            <family val="2"/>
          </rPr>
          <t>Notes:
1.</t>
        </r>
        <r>
          <rPr>
            <sz val="10"/>
            <color indexed="81"/>
            <rFont val="Tahoma"/>
            <family val="2"/>
          </rPr>
          <t xml:space="preserve">  If no secondary estimate is to be done, input </t>
        </r>
        <r>
          <rPr>
            <b/>
            <sz val="10"/>
            <color indexed="81"/>
            <rFont val="Tahoma"/>
            <family val="2"/>
          </rPr>
          <t xml:space="preserve">"none" </t>
        </r>
        <r>
          <rPr>
            <sz val="10"/>
            <color indexed="81"/>
            <rFont val="Tahoma"/>
            <family val="2"/>
          </rPr>
          <t xml:space="preserve">for Estimate 2 bridge type!
</t>
        </r>
        <r>
          <rPr>
            <b/>
            <sz val="10"/>
            <color indexed="81"/>
            <rFont val="Tahoma"/>
            <family val="2"/>
          </rPr>
          <t>2.</t>
        </r>
        <r>
          <rPr>
            <sz val="10"/>
            <color indexed="81"/>
            <rFont val="Tahoma"/>
            <family val="2"/>
          </rPr>
          <t xml:space="preserve">  If the secondary is something other than </t>
        </r>
        <r>
          <rPr>
            <b/>
            <sz val="10"/>
            <color indexed="81"/>
            <rFont val="Tahoma"/>
            <family val="2"/>
          </rPr>
          <t>"none"</t>
        </r>
        <r>
          <rPr>
            <sz val="10"/>
            <color indexed="81"/>
            <rFont val="Tahoma"/>
            <family val="2"/>
          </rPr>
          <t xml:space="preserve">, then page one is noted as </t>
        </r>
        <r>
          <rPr>
            <b/>
            <sz val="10"/>
            <color indexed="81"/>
            <rFont val="Tahoma"/>
            <family val="2"/>
          </rPr>
          <t>"Option 1"</t>
        </r>
        <r>
          <rPr>
            <sz val="10"/>
            <color indexed="81"/>
            <rFont val="Tahoma"/>
            <family val="2"/>
          </rPr>
          <t xml:space="preserve"> and page 2 is noted </t>
        </r>
        <r>
          <rPr>
            <b/>
            <sz val="10"/>
            <color indexed="81"/>
            <rFont val="Tahoma"/>
            <family val="2"/>
          </rPr>
          <t>"Option 2"</t>
        </r>
        <r>
          <rPr>
            <sz val="10"/>
            <color indexed="81"/>
            <rFont val="Tahoma"/>
            <family val="2"/>
          </rPr>
          <t xml:space="preserve">.  If the secondary estimate is noted as </t>
        </r>
        <r>
          <rPr>
            <b/>
            <sz val="10"/>
            <color indexed="81"/>
            <rFont val="Tahoma"/>
            <family val="2"/>
          </rPr>
          <t>"none"</t>
        </r>
        <r>
          <rPr>
            <sz val="10"/>
            <color indexed="81"/>
            <rFont val="Tahoma"/>
            <family val="2"/>
          </rPr>
          <t xml:space="preserve">, neither page will be noted with the "Option" notation.
</t>
        </r>
        <r>
          <rPr>
            <b/>
            <sz val="10"/>
            <color indexed="81"/>
            <rFont val="Tahoma"/>
            <family val="2"/>
          </rPr>
          <t>3.</t>
        </r>
        <r>
          <rPr>
            <sz val="10"/>
            <color indexed="81"/>
            <rFont val="Tahoma"/>
            <family val="2"/>
          </rPr>
          <t xml:space="preserve">  The primary estimate may be defined as a rehab or with a replacement type.  If the primary estimate is a replacement, the secondary estimate should be defined as a rehab only and not a different replacement type.  If the primary estimate is a rehab, the secondary estimate may be a replacement or an alternative rehab estimate (i.e. Rehab. of Exist. Br. (2)). 
</t>
        </r>
        <r>
          <rPr>
            <b/>
            <sz val="10"/>
            <color indexed="81"/>
            <rFont val="Tahoma"/>
            <family val="2"/>
          </rPr>
          <t>4.</t>
        </r>
        <r>
          <rPr>
            <sz val="10"/>
            <color indexed="81"/>
            <rFont val="Tahoma"/>
            <family val="2"/>
          </rPr>
          <t xml:space="preserve">  If rehab is defined, all the proposed bridge information will be annotated with "n/a" unless overridden with an input cell value.  If values are showing after indicating a rehab type, check to see that all proposed bridge input cells are blank.
</t>
        </r>
        <r>
          <rPr>
            <b/>
            <sz val="10"/>
            <color indexed="81"/>
            <rFont val="Tahoma"/>
            <family val="2"/>
          </rPr>
          <t>From Bridge Design Manual:</t>
        </r>
        <r>
          <rPr>
            <sz val="10"/>
            <color indexed="81"/>
            <rFont val="Tahoma"/>
            <family val="2"/>
          </rPr>
          <t xml:space="preserve">
See "Span Chart" tab for Simple Span Bridge Selection Chart from Bridge Design Manual</t>
        </r>
      </text>
    </comment>
    <comment ref="W26" authorId="0">
      <text>
        <r>
          <rPr>
            <sz val="10"/>
            <color indexed="81"/>
            <rFont val="Tahoma"/>
            <family val="2"/>
          </rPr>
          <t>First input ("</t>
        </r>
        <r>
          <rPr>
            <b/>
            <sz val="10"/>
            <color indexed="81"/>
            <rFont val="Tahoma"/>
            <family val="2"/>
          </rPr>
          <t>yes/no"</t>
        </r>
        <r>
          <rPr>
            <sz val="10"/>
            <color indexed="81"/>
            <rFont val="Tahoma"/>
            <family val="2"/>
          </rPr>
          <t>) is required.
Second input (</t>
        </r>
        <r>
          <rPr>
            <b/>
            <sz val="10"/>
            <color indexed="81"/>
            <rFont val="Tahoma"/>
            <family val="2"/>
          </rPr>
          <t>comment</t>
        </r>
        <r>
          <rPr>
            <sz val="10"/>
            <color indexed="81"/>
            <rFont val="Tahoma"/>
            <family val="2"/>
          </rPr>
          <t>) is optional.  MWR requested a comment with a reason when "</t>
        </r>
        <r>
          <rPr>
            <b/>
            <sz val="10"/>
            <color indexed="81"/>
            <rFont val="Tahoma"/>
            <family val="2"/>
          </rPr>
          <t>no</t>
        </r>
        <r>
          <rPr>
            <sz val="10"/>
            <color indexed="81"/>
            <rFont val="Tahoma"/>
            <family val="2"/>
          </rPr>
          <t xml:space="preserve">" is selected by user.
</t>
        </r>
        <r>
          <rPr>
            <b/>
            <sz val="10"/>
            <color indexed="81"/>
            <rFont val="Tahoma"/>
            <family val="2"/>
          </rPr>
          <t>Note:</t>
        </r>
        <r>
          <rPr>
            <sz val="10"/>
            <color indexed="81"/>
            <rFont val="Tahoma"/>
            <family val="2"/>
          </rPr>
          <t xml:space="preserve">  The comments are choosen from a pull down list. To see where the list is located, make sure you are on the cell for which you want to see the list and from the excel menus, choose Data/Data Validation/Data Validation.  In the window that pops up, click the button to the right of the "Source" range shown and it will show the user where the referenced list is.  Note that there are several blank cell at the end of the list which the user can populate (will populate with blue, bold font).  Leave the first cell in the list blank and do not alter the existing values.</t>
        </r>
      </text>
    </comment>
    <comment ref="Q28" authorId="0">
      <text>
        <r>
          <rPr>
            <sz val="10"/>
            <color indexed="81"/>
            <rFont val="Tahoma"/>
            <family val="2"/>
          </rPr>
          <t>Value shown calculated as:       BFW = (DA)^0.4892 * 12.469.  This equation provided by BoE.
User must input value to be used below.</t>
        </r>
      </text>
    </comment>
    <comment ref="Q31" authorId="0">
      <text>
        <r>
          <rPr>
            <sz val="10"/>
            <color indexed="81"/>
            <rFont val="Tahoma"/>
            <family val="2"/>
          </rPr>
          <t xml:space="preserve">This dimension is measured perpendicular to the streambed, roadway or RR crossed and not along the c.l. roadway above!  An adjustment for skew is incorpoarted into the Bridge Cost calculation formula.  Value should be input in even 2' increments
</t>
        </r>
        <r>
          <rPr>
            <u/>
            <sz val="10"/>
            <color indexed="81"/>
            <rFont val="Tahoma"/>
            <family val="2"/>
          </rPr>
          <t>For Bridge Replacements Across Streams:</t>
        </r>
        <r>
          <rPr>
            <sz val="10"/>
            <color indexed="81"/>
            <rFont val="Tahoma"/>
            <family val="2"/>
          </rPr>
          <t xml:space="preserve">
</t>
        </r>
        <r>
          <rPr>
            <b/>
            <sz val="10"/>
            <color indexed="81"/>
            <rFont val="Tahoma"/>
            <family val="2"/>
          </rPr>
          <t>1.</t>
        </r>
        <r>
          <rPr>
            <sz val="10"/>
            <color indexed="81"/>
            <rFont val="Tahoma"/>
            <family val="2"/>
          </rPr>
          <t xml:space="preserve">  Establish the drainage area (DA), (sq mi), for the bridge using the Stream Stats program.
</t>
        </r>
        <r>
          <rPr>
            <b/>
            <sz val="10"/>
            <color indexed="81"/>
            <rFont val="Tahoma"/>
            <family val="2"/>
          </rPr>
          <t>2.</t>
        </r>
        <r>
          <rPr>
            <sz val="10"/>
            <color indexed="81"/>
            <rFont val="Tahoma"/>
            <family val="2"/>
          </rPr>
          <t xml:space="preserve">  Establish Bank Full Width (BFW), (ft), using this regression equation:  BFW = (DA)^0.4892 * 12.469.  This equation provided by BoE.
</t>
        </r>
        <r>
          <rPr>
            <b/>
            <sz val="10"/>
            <color indexed="81"/>
            <rFont val="Tahoma"/>
            <family val="2"/>
          </rPr>
          <t>3.</t>
        </r>
        <r>
          <rPr>
            <sz val="10"/>
            <color indexed="81"/>
            <rFont val="Tahoma"/>
            <family val="2"/>
          </rPr>
          <t xml:space="preserve">  Est. Span, (ft) = 1.2(BFW) + 2
</t>
        </r>
        <r>
          <rPr>
            <u/>
            <sz val="10"/>
            <color indexed="81"/>
            <rFont val="Tahoma"/>
            <family val="2"/>
          </rPr>
          <t>For Bridge Rahabilitations or Replacements over roadway or RR:</t>
        </r>
        <r>
          <rPr>
            <sz val="10"/>
            <color indexed="81"/>
            <rFont val="Tahoma"/>
            <family val="2"/>
          </rPr>
          <t xml:space="preserve">
Consider inputing value equivalent to total span length along c.l. roadway carried divided by cos(skew) such that the slope intercept equation brings it back to the original value or consider leaving blank and calculating the rehab cost independently and input as a lump sum value below. </t>
        </r>
      </text>
    </comment>
    <comment ref="W31" authorId="0">
      <text>
        <r>
          <rPr>
            <sz val="10"/>
            <color indexed="81"/>
            <rFont val="Tahoma"/>
            <family val="2"/>
          </rPr>
          <t xml:space="preserve">"Waterway? (yes/no)" effects several items in the estimate but doesn't show up on the estimate itself.  It is hardwired to indicate </t>
        </r>
        <r>
          <rPr>
            <b/>
            <sz val="10"/>
            <color indexed="81"/>
            <rFont val="Tahoma"/>
            <family val="2"/>
          </rPr>
          <t>"Yes"</t>
        </r>
        <r>
          <rPr>
            <sz val="10"/>
            <color indexed="81"/>
            <rFont val="Tahoma"/>
            <family val="2"/>
          </rPr>
          <t xml:space="preserve"> if the user chooses that the estimated span is normal to a "Stream" and </t>
        </r>
        <r>
          <rPr>
            <b/>
            <sz val="10"/>
            <color indexed="81"/>
            <rFont val="Tahoma"/>
            <family val="2"/>
          </rPr>
          <t>"no"</t>
        </r>
        <r>
          <rPr>
            <sz val="10"/>
            <color indexed="81"/>
            <rFont val="Tahoma"/>
            <family val="2"/>
          </rPr>
          <t xml:space="preserve"> if the user indicates it is measured normal to anything else.  It effects the following:  
</t>
        </r>
        <r>
          <rPr>
            <b/>
            <sz val="10"/>
            <color indexed="81"/>
            <rFont val="Tahoma"/>
            <family val="2"/>
          </rPr>
          <t xml:space="preserve">Yes: </t>
        </r>
        <r>
          <rPr>
            <sz val="10"/>
            <color indexed="81"/>
            <rFont val="Tahoma"/>
            <family val="2"/>
          </rPr>
          <t xml:space="preserve">Causes the comment for the Est. Vertical Hgt value to read "Streambed to Finished Grade Hgt";  turns on the user note regarding the waterway area and hydraulic study and uses a value of 3 * slope intercept height in Bridge Cost calculation.
</t>
        </r>
        <r>
          <rPr>
            <b/>
            <sz val="10"/>
            <color indexed="81"/>
            <rFont val="Tahoma"/>
            <family val="2"/>
          </rPr>
          <t>No:</t>
        </r>
        <r>
          <rPr>
            <sz val="10"/>
            <color indexed="81"/>
            <rFont val="Tahoma"/>
            <family val="2"/>
          </rPr>
          <t xml:space="preserve"> Causes the comment for the Est. Vertical Hgt value to read "Finished Grade to Finished Grade Hgt"; turns off the user note stated above and uses a value of 4 * slope intercept height in Bridge Cost calculation.</t>
        </r>
      </text>
    </comment>
    <comment ref="Y31" authorId="1">
      <text>
        <r>
          <rPr>
            <sz val="11"/>
            <color indexed="81"/>
            <rFont val="Tahoma"/>
            <family val="2"/>
          </rPr>
          <t xml:space="preserve">The default note regarding the waterway is shown at the right unless an override is input here by the user.  Any text indicated in this box will completely override the default note.  Use carefully!  Note </t>
        </r>
        <r>
          <rPr>
            <u/>
            <sz val="11"/>
            <color indexed="81"/>
            <rFont val="Tahoma"/>
            <family val="2"/>
          </rPr>
          <t>is not</t>
        </r>
        <r>
          <rPr>
            <sz val="11"/>
            <color indexed="81"/>
            <rFont val="Tahoma"/>
            <family val="2"/>
          </rPr>
          <t xml:space="preserve"> written to form until user checks the box to turn the note on (see below the form for list of notes and check boxes). 
</t>
        </r>
        <r>
          <rPr>
            <b/>
            <sz val="11"/>
            <color indexed="81"/>
            <rFont val="Tahoma"/>
            <family val="2"/>
          </rPr>
          <t>Note:</t>
        </r>
        <r>
          <rPr>
            <sz val="11"/>
            <color indexed="81"/>
            <rFont val="Tahoma"/>
            <family val="2"/>
          </rPr>
          <t xml:space="preserve">  1.  if default note is desired, leave override cell </t>
        </r>
        <r>
          <rPr>
            <u/>
            <sz val="11"/>
            <color indexed="81"/>
            <rFont val="Tahoma"/>
            <family val="2"/>
          </rPr>
          <t>blank</t>
        </r>
        <r>
          <rPr>
            <sz val="11"/>
            <color indexed="81"/>
            <rFont val="Tahoma"/>
            <family val="2"/>
          </rPr>
          <t>!  2.  If no default note shown, none required!</t>
        </r>
      </text>
    </comment>
    <comment ref="Q32" authorId="0">
      <text>
        <r>
          <rPr>
            <sz val="10"/>
            <color indexed="81"/>
            <rFont val="Tahoma"/>
            <family val="2"/>
          </rPr>
          <t xml:space="preserve">This dimension is measured perpendicular to the streambed and not along the c.l. roadway above!  An adjustment for skew is incorpoarted into the Bridge Cost calculation formula.  Value should be input in even 2' increments
</t>
        </r>
      </text>
    </comment>
    <comment ref="Q33" authorId="0">
      <text>
        <r>
          <rPr>
            <sz val="10"/>
            <color indexed="81"/>
            <rFont val="Tahoma"/>
            <family val="2"/>
          </rPr>
          <t xml:space="preserve">The program </t>
        </r>
        <r>
          <rPr>
            <u/>
            <sz val="10"/>
            <color indexed="81"/>
            <rFont val="Tahoma"/>
            <family val="2"/>
          </rPr>
          <t xml:space="preserve">automatically calculates </t>
        </r>
        <r>
          <rPr>
            <sz val="10"/>
            <color indexed="81"/>
            <rFont val="Tahoma"/>
            <family val="2"/>
          </rPr>
          <t xml:space="preserve">the Out to Out Bridge Width as 3'-0" greater than the Face of Rail to Face of Rail dimension.  It the user wishes to use something different, input the value here as an override.
</t>
        </r>
      </text>
    </comment>
    <comment ref="Q34" authorId="0">
      <text>
        <r>
          <rPr>
            <sz val="10"/>
            <color indexed="81"/>
            <rFont val="Tahoma"/>
            <family val="2"/>
          </rPr>
          <t xml:space="preserve">Input the Skew Angle for the </t>
        </r>
        <r>
          <rPr>
            <u/>
            <sz val="10"/>
            <color indexed="81"/>
            <rFont val="Tahoma"/>
            <family val="2"/>
          </rPr>
          <t>Proposed Bridge</t>
        </r>
        <r>
          <rPr>
            <sz val="10"/>
            <color indexed="81"/>
            <rFont val="Tahoma"/>
            <family val="2"/>
          </rPr>
          <t xml:space="preserve">.  If it unchanged from the value used for the existing bridge, the user may </t>
        </r>
        <r>
          <rPr>
            <b/>
            <sz val="10"/>
            <color indexed="81"/>
            <rFont val="Tahoma"/>
            <family val="2"/>
          </rPr>
          <t>leave this input blank</t>
        </r>
        <r>
          <rPr>
            <sz val="10"/>
            <color indexed="81"/>
            <rFont val="Tahoma"/>
            <family val="2"/>
          </rPr>
          <t xml:space="preserve"> and the program will use the value previously input for the existing bridge.</t>
        </r>
      </text>
    </comment>
    <comment ref="W34" authorId="0">
      <text>
        <r>
          <rPr>
            <sz val="10"/>
            <color indexed="81"/>
            <rFont val="Tahoma"/>
            <family val="2"/>
          </rPr>
          <t>Input the Face of Rail to Face of Rail Dimension for the outermost rail for the Proposed Bridge.
Typically set to the larger of 24'-0" or the existing Rail to Rail dimension.</t>
        </r>
      </text>
    </comment>
    <comment ref="Q35" authorId="0">
      <text>
        <r>
          <rPr>
            <sz val="10"/>
            <color indexed="81"/>
            <rFont val="Tahoma"/>
            <family val="2"/>
          </rPr>
          <t>First input ("</t>
        </r>
        <r>
          <rPr>
            <b/>
            <sz val="10"/>
            <color indexed="81"/>
            <rFont val="Tahoma"/>
            <family val="2"/>
          </rPr>
          <t>yes/no"</t>
        </r>
        <r>
          <rPr>
            <sz val="10"/>
            <color indexed="81"/>
            <rFont val="Tahoma"/>
            <family val="2"/>
          </rPr>
          <t>) is required.
Second input (</t>
        </r>
        <r>
          <rPr>
            <b/>
            <sz val="10"/>
            <color indexed="81"/>
            <rFont val="Tahoma"/>
            <family val="2"/>
          </rPr>
          <t>comment</t>
        </r>
        <r>
          <rPr>
            <sz val="10"/>
            <color indexed="81"/>
            <rFont val="Tahoma"/>
            <family val="2"/>
          </rPr>
          <t>) is optional.  MWR requested a comment for a reason when "</t>
        </r>
        <r>
          <rPr>
            <b/>
            <sz val="10"/>
            <color indexed="81"/>
            <rFont val="Tahoma"/>
            <family val="2"/>
          </rPr>
          <t>no</t>
        </r>
        <r>
          <rPr>
            <sz val="10"/>
            <color indexed="81"/>
            <rFont val="Tahoma"/>
            <family val="2"/>
          </rPr>
          <t xml:space="preserve">" is selected by user.
</t>
        </r>
        <r>
          <rPr>
            <b/>
            <sz val="10"/>
            <color indexed="81"/>
            <rFont val="Tahoma"/>
            <family val="2"/>
          </rPr>
          <t>Note:</t>
        </r>
        <r>
          <rPr>
            <sz val="10"/>
            <color indexed="81"/>
            <rFont val="Tahoma"/>
            <family val="2"/>
          </rPr>
          <t xml:space="preserve">  The comments are choosen from a pull down list. To see where the list is located, make sure you are on the cell for which you want to see the list and from the excel menus, choose Data/Data Validation/Data Validation.  In the window that pops up, click the button to the right of the "Source" range shown and it will show the user where the referenced list is.  Note that there are several blank cell at the end of the list which the user can populate (will populate with blue, bold font).  Leave the first cell in the list blank and do not alter the existing values.
Examples: if no temp bridge and no phased construction, possible notation might be "Rdwy to be Closed" or "Detour".  If temp bridge provided and still need phased construction, notation might be "proximity to diversion"</t>
        </r>
      </text>
    </comment>
    <comment ref="W35" authorId="0">
      <text>
        <r>
          <rPr>
            <sz val="10"/>
            <color indexed="81"/>
            <rFont val="Tahoma"/>
            <family val="2"/>
          </rPr>
          <t xml:space="preserve">The program </t>
        </r>
        <r>
          <rPr>
            <u/>
            <sz val="10"/>
            <color indexed="81"/>
            <rFont val="Tahoma"/>
            <family val="2"/>
          </rPr>
          <t>automatically calculates</t>
        </r>
        <r>
          <rPr>
            <sz val="10"/>
            <color indexed="81"/>
            <rFont val="Tahoma"/>
            <family val="2"/>
          </rPr>
          <t xml:space="preserve"> the Curb to Curb Bridge Width as follows:
</t>
        </r>
        <r>
          <rPr>
            <b/>
            <sz val="10"/>
            <color indexed="81"/>
            <rFont val="Tahoma"/>
            <family val="2"/>
          </rPr>
          <t>No sidewalks defined (Sidewalk input = 'None'):</t>
        </r>
        <r>
          <rPr>
            <sz val="10"/>
            <color indexed="81"/>
            <rFont val="Tahoma"/>
            <family val="2"/>
          </rPr>
          <t xml:space="preserve">  (raised curbes on both fascias)  1'-0" less than the Face of Rail to Face of Rail dimension.
</t>
        </r>
        <r>
          <rPr>
            <b/>
            <sz val="10"/>
            <color indexed="81"/>
            <rFont val="Tahoma"/>
            <family val="2"/>
          </rPr>
          <t>Sidewalks defined (Sidewalk input = '1 Side' or '2 Sides'):</t>
        </r>
        <r>
          <rPr>
            <sz val="10"/>
            <color indexed="81"/>
            <rFont val="Tahoma"/>
            <family val="2"/>
          </rPr>
          <t xml:space="preserve"> Face of Rail to Face of Rail dimension minus the greater of the sidewalk width for each side of the bridge with a sidewalk and 6" for each side without a sidewalk.
</t>
        </r>
        <r>
          <rPr>
            <b/>
            <sz val="10"/>
            <color indexed="81"/>
            <rFont val="Tahoma"/>
            <family val="2"/>
          </rPr>
          <t>No raised curbs exist (Sidewalk input = 'n/a'):</t>
        </r>
        <r>
          <rPr>
            <sz val="10"/>
            <color indexed="81"/>
            <rFont val="Tahoma"/>
            <family val="2"/>
          </rPr>
          <t xml:space="preserve"> Curb to Curb dimension = Face of Rail to Face of Rail dimension 
If the user wishes to use something different, input the value here as an override.</t>
        </r>
      </text>
    </comment>
    <comment ref="W36" authorId="0">
      <text>
        <r>
          <rPr>
            <sz val="10"/>
            <color indexed="81"/>
            <rFont val="Tahoma"/>
            <family val="2"/>
          </rPr>
          <t xml:space="preserve">If the user wishes to show just the total length, input the lengths required for Appr 1 and Appr 2 and nothing else.  To distinguish the amounts on each approach in a note, the user can add the approach designations and/or comments to each approach.
</t>
        </r>
        <r>
          <rPr>
            <b/>
            <sz val="10"/>
            <color indexed="81"/>
            <rFont val="Tahoma"/>
            <family val="2"/>
          </rPr>
          <t>Note:
1.</t>
        </r>
        <r>
          <rPr>
            <sz val="10"/>
            <color indexed="81"/>
            <rFont val="Tahoma"/>
            <family val="2"/>
          </rPr>
          <t xml:space="preserve">  If the user indicates one designation but two lengths, the program will prompt for the second designation.  The user can disregard the prompt if desired.
</t>
        </r>
        <r>
          <rPr>
            <b/>
            <sz val="10"/>
            <color indexed="81"/>
            <rFont val="Tahoma"/>
            <family val="2"/>
          </rPr>
          <t>2.</t>
        </r>
        <r>
          <rPr>
            <sz val="10"/>
            <color indexed="81"/>
            <rFont val="Tahoma"/>
            <family val="2"/>
          </rPr>
          <t xml:space="preserve">  If a rehabilitation with no approach work, input "Not Included" for the Appr 1 Designation.
</t>
        </r>
        <r>
          <rPr>
            <b/>
            <sz val="10"/>
            <color indexed="81"/>
            <rFont val="Tahoma"/>
            <family val="2"/>
          </rPr>
          <t>3.</t>
        </r>
        <r>
          <rPr>
            <sz val="10"/>
            <color indexed="81"/>
            <rFont val="Tahoma"/>
            <family val="2"/>
          </rPr>
          <t xml:space="preserve">  If the approach work is going to be done as part of highway cost, input "Not Included".  
</t>
        </r>
        <r>
          <rPr>
            <b/>
            <sz val="10"/>
            <color indexed="81"/>
            <rFont val="Tahoma"/>
            <family val="2"/>
          </rPr>
          <t>4.</t>
        </r>
        <r>
          <rPr>
            <sz val="10"/>
            <color indexed="81"/>
            <rFont val="Tahoma"/>
            <family val="2"/>
          </rPr>
          <t xml:space="preserve">  If the user wishes that 0ft is shown, leave Appr 1 and 2 lengths blank.</t>
        </r>
      </text>
    </comment>
    <comment ref="Z36" authorId="0">
      <text>
        <r>
          <rPr>
            <sz val="10"/>
            <color indexed="81"/>
            <rFont val="Tahoma"/>
            <family val="2"/>
          </rPr>
          <t>Use the space under each approach to write individual comments as required.</t>
        </r>
      </text>
    </comment>
    <comment ref="Q37" authorId="0">
      <text>
        <r>
          <rPr>
            <sz val="10"/>
            <color indexed="81"/>
            <rFont val="Tahoma"/>
            <family val="2"/>
          </rPr>
          <t xml:space="preserve">Input whether the new structure will have sidewalks on </t>
        </r>
        <r>
          <rPr>
            <b/>
            <sz val="10"/>
            <color indexed="81"/>
            <rFont val="Tahoma"/>
            <family val="2"/>
          </rPr>
          <t>1 side</t>
        </r>
        <r>
          <rPr>
            <sz val="10"/>
            <color indexed="81"/>
            <rFont val="Tahoma"/>
            <family val="2"/>
          </rPr>
          <t xml:space="preserve">, </t>
        </r>
        <r>
          <rPr>
            <b/>
            <sz val="10"/>
            <color indexed="81"/>
            <rFont val="Tahoma"/>
            <family val="2"/>
          </rPr>
          <t>2 sides</t>
        </r>
        <r>
          <rPr>
            <sz val="10"/>
            <color indexed="81"/>
            <rFont val="Tahoma"/>
            <family val="2"/>
          </rPr>
          <t xml:space="preserve"> or</t>
        </r>
        <r>
          <rPr>
            <b/>
            <sz val="10"/>
            <color indexed="81"/>
            <rFont val="Tahoma"/>
            <family val="2"/>
          </rPr>
          <t xml:space="preserve"> no sides</t>
        </r>
        <r>
          <rPr>
            <sz val="10"/>
            <color indexed="81"/>
            <rFont val="Tahoma"/>
            <family val="2"/>
          </rPr>
          <t>.</t>
        </r>
      </text>
    </comment>
    <comment ref="Q41" authorId="0">
      <text>
        <r>
          <rPr>
            <sz val="10"/>
            <color indexed="81"/>
            <rFont val="Tahoma"/>
            <family val="2"/>
          </rPr>
          <t xml:space="preserve">This input turns on/off unrounded calculated values for the engineers review.  </t>
        </r>
      </text>
    </comment>
    <comment ref="S43" authorId="0">
      <text>
        <r>
          <rPr>
            <sz val="10"/>
            <color indexed="81"/>
            <rFont val="Tahoma"/>
            <family val="2"/>
          </rPr>
          <t xml:space="preserve">Input in $10k increments
</t>
        </r>
      </text>
    </comment>
    <comment ref="S44" authorId="0">
      <text>
        <r>
          <rPr>
            <sz val="10"/>
            <color indexed="81"/>
            <rFont val="Tahoma"/>
            <family val="2"/>
          </rPr>
          <t xml:space="preserve">Input in $10k increments
</t>
        </r>
      </text>
    </comment>
    <comment ref="X45" authorId="0">
      <text>
        <r>
          <rPr>
            <sz val="10"/>
            <color indexed="81"/>
            <rFont val="Tahoma"/>
            <family val="2"/>
          </rPr>
          <t>If the user inputs a dollar value here and it doesn't show up in the applicable place within the print window, check cells X36 and X37 to see if either approach slab designation reads "Not Included".  This notation in either cell will result in "$-------" in the cell representing the cost.</t>
        </r>
      </text>
    </comment>
    <comment ref="S50" authorId="0">
      <text>
        <r>
          <rPr>
            <sz val="10"/>
            <color indexed="81"/>
            <rFont val="Tahoma"/>
            <family val="2"/>
          </rPr>
          <t xml:space="preserve">For </t>
        </r>
        <r>
          <rPr>
            <b/>
            <sz val="10"/>
            <color indexed="81"/>
            <rFont val="Tahoma"/>
            <family val="2"/>
          </rPr>
          <t>Contingencies</t>
        </r>
        <r>
          <rPr>
            <sz val="10"/>
            <color indexed="81"/>
            <rFont val="Tahoma"/>
            <family val="2"/>
          </rPr>
          <t xml:space="preserve">, input either a </t>
        </r>
        <r>
          <rPr>
            <b/>
            <sz val="10"/>
            <color indexed="81"/>
            <rFont val="Tahoma"/>
            <family val="2"/>
          </rPr>
          <t>%</t>
        </r>
        <r>
          <rPr>
            <sz val="10"/>
            <color indexed="81"/>
            <rFont val="Tahoma"/>
            <family val="2"/>
          </rPr>
          <t xml:space="preserve"> or </t>
        </r>
        <r>
          <rPr>
            <b/>
            <sz val="10"/>
            <color indexed="81"/>
            <rFont val="Tahoma"/>
            <family val="2"/>
          </rPr>
          <t>total $</t>
        </r>
        <r>
          <rPr>
            <sz val="10"/>
            <color indexed="81"/>
            <rFont val="Tahoma"/>
            <family val="2"/>
          </rPr>
          <t xml:space="preserve"> amount.  The % is multiplied by the Bridge and Approach Costs and the total $ amount overrides the % calculation.
</t>
        </r>
        <r>
          <rPr>
            <b/>
            <sz val="10"/>
            <color indexed="81"/>
            <rFont val="Tahoma"/>
            <family val="2"/>
          </rPr>
          <t>Note:</t>
        </r>
        <r>
          <rPr>
            <sz val="10"/>
            <color indexed="81"/>
            <rFont val="Tahoma"/>
            <family val="2"/>
          </rPr>
          <t xml:space="preserve">  If </t>
        </r>
        <r>
          <rPr>
            <b/>
            <sz val="10"/>
            <color indexed="81"/>
            <rFont val="Tahoma"/>
            <family val="2"/>
          </rPr>
          <t>Ttl Cost</t>
        </r>
        <r>
          <rPr>
            <sz val="10"/>
            <color indexed="81"/>
            <rFont val="Tahoma"/>
            <family val="2"/>
          </rPr>
          <t xml:space="preserve"> used, leave </t>
        </r>
        <r>
          <rPr>
            <b/>
            <sz val="10"/>
            <color indexed="81"/>
            <rFont val="Tahoma"/>
            <family val="2"/>
          </rPr>
          <t>%</t>
        </r>
        <r>
          <rPr>
            <sz val="10"/>
            <color indexed="81"/>
            <rFont val="Tahoma"/>
            <family val="2"/>
          </rPr>
          <t xml:space="preserve"> input cell blank and vice versa.
</t>
        </r>
      </text>
    </comment>
    <comment ref="S52" authorId="0">
      <text>
        <r>
          <rPr>
            <sz val="10"/>
            <color indexed="81"/>
            <rFont val="Tahoma"/>
            <family val="2"/>
          </rPr>
          <t xml:space="preserve">For </t>
        </r>
        <r>
          <rPr>
            <b/>
            <sz val="10"/>
            <color indexed="81"/>
            <rFont val="Tahoma"/>
            <family val="2"/>
          </rPr>
          <t>Premiminary Engineering (PE)</t>
        </r>
        <r>
          <rPr>
            <sz val="10"/>
            <color indexed="81"/>
            <rFont val="Tahoma"/>
            <family val="2"/>
          </rPr>
          <t xml:space="preserve">, input either a </t>
        </r>
        <r>
          <rPr>
            <b/>
            <sz val="10"/>
            <color indexed="81"/>
            <rFont val="Tahoma"/>
            <family val="2"/>
          </rPr>
          <t>%</t>
        </r>
        <r>
          <rPr>
            <sz val="10"/>
            <color indexed="81"/>
            <rFont val="Tahoma"/>
            <family val="2"/>
          </rPr>
          <t xml:space="preserve"> or </t>
        </r>
        <r>
          <rPr>
            <b/>
            <sz val="10"/>
            <color indexed="81"/>
            <rFont val="Tahoma"/>
            <family val="2"/>
          </rPr>
          <t>total $</t>
        </r>
        <r>
          <rPr>
            <sz val="10"/>
            <color indexed="81"/>
            <rFont val="Tahoma"/>
            <family val="2"/>
          </rPr>
          <t xml:space="preserve"> amount.  The % is applied to the subtotal amount of the Bridge, Approach, Contingencies and Temp Detour costs.  
See bridge manual (Plate 475.1c) for % to be used based on Bridge and Rdwy costs.
Per MWR, PE amount input value or calculated value should be rounded to the nearest $10K.
</t>
        </r>
        <r>
          <rPr>
            <b/>
            <sz val="10"/>
            <color indexed="81"/>
            <rFont val="Tahoma"/>
            <family val="2"/>
          </rPr>
          <t>Note:</t>
        </r>
        <r>
          <rPr>
            <sz val="10"/>
            <color indexed="81"/>
            <rFont val="Tahoma"/>
            <family val="2"/>
          </rPr>
          <t xml:space="preserve">  If </t>
        </r>
        <r>
          <rPr>
            <b/>
            <sz val="10"/>
            <color indexed="81"/>
            <rFont val="Tahoma"/>
            <family val="2"/>
          </rPr>
          <t>Ttl Cost</t>
        </r>
        <r>
          <rPr>
            <sz val="10"/>
            <color indexed="81"/>
            <rFont val="Tahoma"/>
            <family val="2"/>
          </rPr>
          <t xml:space="preserve"> used, leave </t>
        </r>
        <r>
          <rPr>
            <b/>
            <sz val="10"/>
            <color indexed="81"/>
            <rFont val="Tahoma"/>
            <family val="2"/>
          </rPr>
          <t>%</t>
        </r>
        <r>
          <rPr>
            <sz val="10"/>
            <color indexed="81"/>
            <rFont val="Tahoma"/>
            <family val="2"/>
          </rPr>
          <t xml:space="preserve"> input cell blank and vice versa.  </t>
        </r>
      </text>
    </comment>
    <comment ref="S53" authorId="0">
      <text>
        <r>
          <rPr>
            <b/>
            <sz val="10"/>
            <color indexed="81"/>
            <rFont val="Tahoma"/>
            <family val="2"/>
          </rPr>
          <t>Envinronmental &amp; Cultural Reviews/Permitting"</t>
        </r>
        <r>
          <rPr>
            <sz val="10"/>
            <color indexed="81"/>
            <rFont val="Tahoma"/>
            <family val="2"/>
          </rPr>
          <t xml:space="preserve">
</t>
        </r>
        <r>
          <rPr>
            <sz val="4"/>
            <color indexed="81"/>
            <rFont val="Tahoma"/>
            <family val="2"/>
          </rPr>
          <t xml:space="preserve"> </t>
        </r>
        <r>
          <rPr>
            <sz val="10"/>
            <color indexed="81"/>
            <rFont val="Tahoma"/>
            <family val="2"/>
          </rPr>
          <t xml:space="preserve">
Typical baseline value of $10,000.  Use larger number if particular envinronmental concerns or stone walls, etc encountered during field visits.</t>
        </r>
      </text>
    </comment>
    <comment ref="S54" authorId="0">
      <text>
        <r>
          <rPr>
            <b/>
            <sz val="10"/>
            <color indexed="81"/>
            <rFont val="Tahoma"/>
            <family val="2"/>
          </rPr>
          <t>For "Bridge Replacement":</t>
        </r>
        <r>
          <rPr>
            <sz val="10"/>
            <color indexed="81"/>
            <rFont val="Tahoma"/>
            <family val="2"/>
          </rPr>
          <t xml:space="preserve">
</t>
        </r>
        <r>
          <rPr>
            <sz val="4"/>
            <color indexed="81"/>
            <rFont val="Tahoma"/>
            <family val="2"/>
          </rPr>
          <t xml:space="preserve"> </t>
        </r>
        <r>
          <rPr>
            <sz val="10"/>
            <color indexed="81"/>
            <rFont val="Tahoma"/>
            <family val="2"/>
          </rPr>
          <t xml:space="preserve">
Input a </t>
        </r>
        <r>
          <rPr>
            <b/>
            <sz val="10"/>
            <color indexed="81"/>
            <rFont val="Tahoma"/>
            <family val="2"/>
          </rPr>
          <t>%</t>
        </r>
        <r>
          <rPr>
            <sz val="10"/>
            <color indexed="81"/>
            <rFont val="Tahoma"/>
            <family val="2"/>
          </rPr>
          <t xml:space="preserve"> or </t>
        </r>
        <r>
          <rPr>
            <b/>
            <sz val="10"/>
            <color indexed="81"/>
            <rFont val="Tahoma"/>
            <family val="2"/>
          </rPr>
          <t>total $</t>
        </r>
        <r>
          <rPr>
            <sz val="10"/>
            <color indexed="81"/>
            <rFont val="Tahoma"/>
            <family val="2"/>
          </rPr>
          <t xml:space="preserve"> amount.  The % is multiplied by the Replacement sub total cost and the $ amount overrides the % calculation.
See bridge manual (Plate 475.1c) for % to be used based on Bridge and Rdwy cost.
</t>
        </r>
        <r>
          <rPr>
            <b/>
            <sz val="10"/>
            <color indexed="81"/>
            <rFont val="Tahoma"/>
            <family val="2"/>
          </rPr>
          <t>For "Rehab. Of Exist. Br.":</t>
        </r>
        <r>
          <rPr>
            <sz val="10"/>
            <color indexed="81"/>
            <rFont val="Tahoma"/>
            <family val="2"/>
          </rPr>
          <t xml:space="preserve">
There is no sub total to multiply the % by so the user must input a </t>
        </r>
        <r>
          <rPr>
            <b/>
            <sz val="10"/>
            <color indexed="81"/>
            <rFont val="Tahoma"/>
            <family val="2"/>
          </rPr>
          <t>total $</t>
        </r>
        <r>
          <rPr>
            <sz val="10"/>
            <color indexed="81"/>
            <rFont val="Tahoma"/>
            <family val="2"/>
          </rPr>
          <t xml:space="preserve"> amount.
</t>
        </r>
        <r>
          <rPr>
            <b/>
            <sz val="10"/>
            <color indexed="81"/>
            <rFont val="Tahoma"/>
            <family val="2"/>
          </rPr>
          <t>Note:</t>
        </r>
        <r>
          <rPr>
            <sz val="10"/>
            <color indexed="81"/>
            <rFont val="Tahoma"/>
            <family val="2"/>
          </rPr>
          <t xml:space="preserve">  If </t>
        </r>
        <r>
          <rPr>
            <b/>
            <sz val="10"/>
            <color indexed="81"/>
            <rFont val="Tahoma"/>
            <family val="2"/>
          </rPr>
          <t>Ttl Cost</t>
        </r>
        <r>
          <rPr>
            <sz val="10"/>
            <color indexed="81"/>
            <rFont val="Tahoma"/>
            <family val="2"/>
          </rPr>
          <t xml:space="preserve"> used, leave </t>
        </r>
        <r>
          <rPr>
            <b/>
            <sz val="10"/>
            <color indexed="81"/>
            <rFont val="Tahoma"/>
            <family val="2"/>
          </rPr>
          <t>%</t>
        </r>
        <r>
          <rPr>
            <sz val="10"/>
            <color indexed="81"/>
            <rFont val="Tahoma"/>
            <family val="2"/>
          </rPr>
          <t xml:space="preserve"> input cell blank and vice versa.</t>
        </r>
      </text>
    </comment>
    <comment ref="S55" authorId="0">
      <text>
        <r>
          <rPr>
            <b/>
            <sz val="10"/>
            <color indexed="81"/>
            <rFont val="Tahoma"/>
            <family val="2"/>
          </rPr>
          <t>ROW:</t>
        </r>
        <r>
          <rPr>
            <sz val="10"/>
            <color indexed="81"/>
            <rFont val="Tahoma"/>
            <family val="2"/>
          </rPr>
          <t xml:space="preserve">
</t>
        </r>
        <r>
          <rPr>
            <sz val="4"/>
            <color indexed="81"/>
            <rFont val="Tahoma"/>
            <family val="2"/>
          </rPr>
          <t xml:space="preserve"> </t>
        </r>
        <r>
          <rPr>
            <sz val="10"/>
            <color indexed="81"/>
            <rFont val="Tahoma"/>
            <family val="2"/>
          </rPr>
          <t xml:space="preserve">
Typical baseline value of $5,000.  Use larger number proposed structure expected to require acquisition (i.e. widening, diversion requirements etc.)</t>
        </r>
      </text>
    </comment>
    <comment ref="D58" authorId="0">
      <text>
        <r>
          <rPr>
            <sz val="10"/>
            <color indexed="81"/>
            <rFont val="Tahoma"/>
            <family val="2"/>
          </rPr>
          <t xml:space="preserve">Up to </t>
        </r>
        <r>
          <rPr>
            <b/>
            <sz val="10"/>
            <color indexed="81"/>
            <rFont val="Tahoma"/>
            <family val="2"/>
          </rPr>
          <t>5 lines of notes</t>
        </r>
        <r>
          <rPr>
            <sz val="10"/>
            <color indexed="81"/>
            <rFont val="Tahoma"/>
            <family val="2"/>
          </rPr>
          <t xml:space="preserve"> may be shown on the form.  These 5 lines may be generated from 5 one line notes, 3 one line notes plus 1 two line note etc.
</t>
        </r>
        <r>
          <rPr>
            <b/>
            <sz val="10"/>
            <color indexed="81"/>
            <rFont val="Tahoma"/>
            <family val="2"/>
          </rPr>
          <t>Notes 1-5</t>
        </r>
        <r>
          <rPr>
            <sz val="10"/>
            <color indexed="81"/>
            <rFont val="Tahoma"/>
            <family val="2"/>
          </rPr>
          <t xml:space="preserve"> are uneditable with note 1 being a standard note and notes 2 &amp; 5 being generated depending on user input within the spreadsheet.  (see add'l comments on individual notes below).
</t>
        </r>
        <r>
          <rPr>
            <b/>
            <sz val="10"/>
            <color indexed="81"/>
            <rFont val="Tahoma"/>
            <family val="2"/>
          </rPr>
          <t>Notes 6-25</t>
        </r>
        <r>
          <rPr>
            <sz val="10"/>
            <color indexed="81"/>
            <rFont val="Tahoma"/>
            <family val="2"/>
          </rPr>
          <t xml:space="preserve"> are editable and are there to list commonly used notes that are not necessarily required on all bridges.
Notes are added to the form by placing an </t>
        </r>
        <r>
          <rPr>
            <b/>
            <sz val="10"/>
            <color indexed="81"/>
            <rFont val="Tahoma"/>
            <family val="2"/>
          </rPr>
          <t>'x'</t>
        </r>
        <r>
          <rPr>
            <sz val="10"/>
            <color indexed="81"/>
            <rFont val="Tahoma"/>
            <family val="2"/>
          </rPr>
          <t xml:space="preserve"> in the cell to the left of the note.  To remove a note from the form, delete the </t>
        </r>
        <r>
          <rPr>
            <b/>
            <sz val="10"/>
            <color indexed="81"/>
            <rFont val="Tahoma"/>
            <family val="2"/>
          </rPr>
          <t>'x</t>
        </r>
        <r>
          <rPr>
            <sz val="10"/>
            <color indexed="81"/>
            <rFont val="Tahoma"/>
            <family val="2"/>
          </rPr>
          <t xml:space="preserve">' (i.e. leave the cell blank).
</t>
        </r>
      </text>
    </comment>
    <comment ref="C62" authorId="0">
      <text>
        <r>
          <rPr>
            <sz val="10"/>
            <color indexed="81"/>
            <rFont val="Tahoma"/>
            <family val="2"/>
          </rPr>
          <t xml:space="preserve">This note is linked to the override input value or Calculated value of Bank Full Width shown in this note is input above.  The user should use this note with care and confirm that the distance shown is what the user intends. 
</t>
        </r>
      </text>
    </comment>
    <comment ref="C63" authorId="0">
      <text>
        <r>
          <rPr>
            <sz val="10"/>
            <color indexed="81"/>
            <rFont val="Tahoma"/>
            <family val="2"/>
          </rPr>
          <t xml:space="preserve">This note is linked to the override input value or Calculated value of Bank Full Width shown in this note is input above.  The user should use this note with care and confirm that the distance shown is what the user intends. 
</t>
        </r>
      </text>
    </comment>
  </commentList>
</comments>
</file>

<file path=xl/comments2.xml><?xml version="1.0" encoding="utf-8"?>
<comments xmlns="http://schemas.openxmlformats.org/spreadsheetml/2006/main">
  <authors>
    <author>Bill Saffian</author>
    <author>n18wps</author>
  </authors>
  <commentList>
    <comment ref="R2" authorId="0">
      <text>
        <r>
          <rPr>
            <sz val="10"/>
            <color indexed="81"/>
            <rFont val="Tahoma"/>
            <family val="2"/>
          </rPr>
          <t>If there are messages to display, the message box at the right will be white in color with bold red text indicating the message.  There are currently 3 possible messages to display.  If there are no message, the message box will be blue.</t>
        </r>
      </text>
    </comment>
    <comment ref="R12" authorId="0">
      <text>
        <r>
          <rPr>
            <sz val="10"/>
            <color indexed="81"/>
            <rFont val="Tahoma"/>
            <family val="2"/>
          </rPr>
          <t>Choose "Bridge Type" from pull down menu list on the Estimate Pg 1 tab.</t>
        </r>
      </text>
    </comment>
    <comment ref="X12" authorId="0">
      <text>
        <r>
          <rPr>
            <sz val="10"/>
            <color indexed="81"/>
            <rFont val="Tahoma"/>
            <family val="2"/>
          </rPr>
          <t>First input ("</t>
        </r>
        <r>
          <rPr>
            <b/>
            <sz val="10"/>
            <color indexed="81"/>
            <rFont val="Tahoma"/>
            <family val="2"/>
          </rPr>
          <t>yes/no"</t>
        </r>
        <r>
          <rPr>
            <sz val="10"/>
            <color indexed="81"/>
            <rFont val="Tahoma"/>
            <family val="2"/>
          </rPr>
          <t>) is required.
Second input (</t>
        </r>
        <r>
          <rPr>
            <b/>
            <sz val="10"/>
            <color indexed="81"/>
            <rFont val="Tahoma"/>
            <family val="2"/>
          </rPr>
          <t>comment</t>
        </r>
        <r>
          <rPr>
            <sz val="10"/>
            <color indexed="81"/>
            <rFont val="Tahoma"/>
            <family val="2"/>
          </rPr>
          <t>) is optional.  MWR requested a comment with a reason when "</t>
        </r>
        <r>
          <rPr>
            <b/>
            <sz val="10"/>
            <color indexed="81"/>
            <rFont val="Tahoma"/>
            <family val="2"/>
          </rPr>
          <t>no</t>
        </r>
        <r>
          <rPr>
            <sz val="10"/>
            <color indexed="81"/>
            <rFont val="Tahoma"/>
            <family val="2"/>
          </rPr>
          <t xml:space="preserve">" is selected by user.
</t>
        </r>
        <r>
          <rPr>
            <b/>
            <sz val="10"/>
            <color indexed="81"/>
            <rFont val="Tahoma"/>
            <family val="2"/>
          </rPr>
          <t>Note:</t>
        </r>
        <r>
          <rPr>
            <sz val="10"/>
            <color indexed="81"/>
            <rFont val="Tahoma"/>
            <family val="2"/>
          </rPr>
          <t xml:space="preserve">  The comments are choosen from a pull down list. To see where the list is located, make sure you are on the cell for which you want to see the list and from the excel menus, choose Data/Data Validation/Data Validation.  In the window that pops up, click the button to the right of the "Source" range shown and it will show the user where the referenced list is.  Note that there are several blank cell at the end of the list which the user can populate (will populate with blue, bold font).  Leave the first cell in the list blank and do not alter the existing values.</t>
        </r>
      </text>
    </comment>
    <comment ref="R14" authorId="0">
      <text>
        <r>
          <rPr>
            <sz val="10"/>
            <color indexed="81"/>
            <rFont val="Tahoma"/>
            <family val="2"/>
          </rPr>
          <t xml:space="preserve">This dimension is measured perpendicular to the streambed, roadway or RR crossed and not along the c.l. roadway above!  An adjustment for skew is incorpoarted into the Bridge Cost calculation formula.
</t>
        </r>
        <r>
          <rPr>
            <u/>
            <sz val="10"/>
            <color indexed="81"/>
            <rFont val="Tahoma"/>
            <family val="2"/>
          </rPr>
          <t>For Bridge Replacements Across Streams:</t>
        </r>
        <r>
          <rPr>
            <sz val="10"/>
            <color indexed="81"/>
            <rFont val="Tahoma"/>
            <family val="2"/>
          </rPr>
          <t xml:space="preserve">
This value should be input in even 2' increments and, as a minimum, be based on the following proceedure:
</t>
        </r>
        <r>
          <rPr>
            <b/>
            <sz val="10"/>
            <color indexed="81"/>
            <rFont val="Tahoma"/>
            <family val="2"/>
          </rPr>
          <t>1.</t>
        </r>
        <r>
          <rPr>
            <sz val="10"/>
            <color indexed="81"/>
            <rFont val="Tahoma"/>
            <family val="2"/>
          </rPr>
          <t xml:space="preserve">  Establish the drainage area (DA), (sq mi), for the bridge using the Stream Stats program.
</t>
        </r>
        <r>
          <rPr>
            <b/>
            <sz val="10"/>
            <color indexed="81"/>
            <rFont val="Tahoma"/>
            <family val="2"/>
          </rPr>
          <t>2.</t>
        </r>
        <r>
          <rPr>
            <sz val="10"/>
            <color indexed="81"/>
            <rFont val="Tahoma"/>
            <family val="2"/>
          </rPr>
          <t xml:space="preserve">  Establish Bank Full Width (BFW), (ft), using this regression equation:  BFW = (DA)^0.4892 * 12.469.  This equation provided by BoE.
</t>
        </r>
        <r>
          <rPr>
            <b/>
            <sz val="10"/>
            <color indexed="81"/>
            <rFont val="Tahoma"/>
            <family val="2"/>
          </rPr>
          <t>3.</t>
        </r>
        <r>
          <rPr>
            <sz val="10"/>
            <color indexed="81"/>
            <rFont val="Tahoma"/>
            <family val="2"/>
          </rPr>
          <t xml:space="preserve">  Est. Span, (ft) = 1.2(BFW) + 2
</t>
        </r>
        <r>
          <rPr>
            <u/>
            <sz val="10"/>
            <color indexed="81"/>
            <rFont val="Tahoma"/>
            <family val="2"/>
          </rPr>
          <t>For Bridge Rahabilitations or Replacements over roadway or RR:</t>
        </r>
        <r>
          <rPr>
            <sz val="10"/>
            <color indexed="81"/>
            <rFont val="Tahoma"/>
            <family val="2"/>
          </rPr>
          <t xml:space="preserve">
Consider inputing value equivalent to total span length along c.l. roadway carried divided by cos(skew) such that the slope intercept equation brings it back to the original value or consider leaving blank and calculating the rehab cost independently and input as a lump sum value below. </t>
        </r>
      </text>
    </comment>
    <comment ref="X14" authorId="0">
      <text>
        <r>
          <rPr>
            <sz val="10"/>
            <color indexed="81"/>
            <rFont val="Tahoma"/>
            <family val="2"/>
          </rPr>
          <t xml:space="preserve">"Waterway? (yes/no)" effects several items in the estimate but doesn't show up on the estimate itself.  It is hardwired to indicate </t>
        </r>
        <r>
          <rPr>
            <b/>
            <sz val="10"/>
            <color indexed="81"/>
            <rFont val="Tahoma"/>
            <family val="2"/>
          </rPr>
          <t>"Yes"</t>
        </r>
        <r>
          <rPr>
            <sz val="10"/>
            <color indexed="81"/>
            <rFont val="Tahoma"/>
            <family val="2"/>
          </rPr>
          <t xml:space="preserve"> if the user chooses that the estimated span is normal to a "Stream" and </t>
        </r>
        <r>
          <rPr>
            <b/>
            <sz val="10"/>
            <color indexed="81"/>
            <rFont val="Tahoma"/>
            <family val="2"/>
          </rPr>
          <t>"no"</t>
        </r>
        <r>
          <rPr>
            <sz val="10"/>
            <color indexed="81"/>
            <rFont val="Tahoma"/>
            <family val="2"/>
          </rPr>
          <t xml:space="preserve"> if the user indicates it is measured normal to anything else.  It effects the following:  
</t>
        </r>
        <r>
          <rPr>
            <b/>
            <sz val="10"/>
            <color indexed="81"/>
            <rFont val="Tahoma"/>
            <family val="2"/>
          </rPr>
          <t xml:space="preserve">Yes: </t>
        </r>
        <r>
          <rPr>
            <sz val="10"/>
            <color indexed="81"/>
            <rFont val="Tahoma"/>
            <family val="2"/>
          </rPr>
          <t xml:space="preserve">Causes the comment for the Est. Vertical Hgt value to read "Streambed to Finished Grade Hgt";  turns on the user note regarding the waterway area and hydraulic study and uses a value of 3 * slope intercept height in Bridge Cost calculation.
</t>
        </r>
        <r>
          <rPr>
            <b/>
            <sz val="10"/>
            <color indexed="81"/>
            <rFont val="Tahoma"/>
            <family val="2"/>
          </rPr>
          <t>No:</t>
        </r>
        <r>
          <rPr>
            <sz val="10"/>
            <color indexed="81"/>
            <rFont val="Tahoma"/>
            <family val="2"/>
          </rPr>
          <t xml:space="preserve"> Causes the comment for the Est. Vertical Hgt value to read "Finished Grade to Finished Grade Hgt"; turns off the user note stated above and uses a value of 4 * slope intercept height in Bridge Cost calculation.</t>
        </r>
      </text>
    </comment>
    <comment ref="Z14" authorId="1">
      <text>
        <r>
          <rPr>
            <sz val="11"/>
            <color indexed="81"/>
            <rFont val="Tahoma"/>
            <family val="2"/>
          </rPr>
          <t xml:space="preserve">The default note regarding the waterway is shown at the right unless an override is inputer here by the user.  Any text indicated in this box will completely override the default note.  Use carefully!
</t>
        </r>
        <r>
          <rPr>
            <b/>
            <sz val="11"/>
            <color indexed="81"/>
            <rFont val="Tahoma"/>
            <family val="2"/>
          </rPr>
          <t>Note:</t>
        </r>
        <r>
          <rPr>
            <sz val="11"/>
            <color indexed="81"/>
            <rFont val="Tahoma"/>
            <family val="2"/>
          </rPr>
          <t xml:space="preserve">  1.  if default note is desired, leave override cell </t>
        </r>
        <r>
          <rPr>
            <u/>
            <sz val="11"/>
            <color indexed="81"/>
            <rFont val="Tahoma"/>
            <family val="2"/>
          </rPr>
          <t>blank</t>
        </r>
        <r>
          <rPr>
            <sz val="11"/>
            <color indexed="81"/>
            <rFont val="Tahoma"/>
            <family val="2"/>
          </rPr>
          <t>!  2.  If no default note shown, none required!</t>
        </r>
      </text>
    </comment>
    <comment ref="R15" authorId="0">
      <text>
        <r>
          <rPr>
            <sz val="10"/>
            <color indexed="81"/>
            <rFont val="Tahoma"/>
            <family val="2"/>
          </rPr>
          <t xml:space="preserve">The program </t>
        </r>
        <r>
          <rPr>
            <u/>
            <sz val="10"/>
            <color indexed="81"/>
            <rFont val="Tahoma"/>
            <family val="2"/>
          </rPr>
          <t xml:space="preserve">automatically calculates </t>
        </r>
        <r>
          <rPr>
            <sz val="10"/>
            <color indexed="81"/>
            <rFont val="Tahoma"/>
            <family val="2"/>
          </rPr>
          <t xml:space="preserve">the Out to Out Bridge Width as 3'-0" greater than the Face of Rail to Face of Rail dimension.  It the user wishes to use something different, input the value here as an override.
</t>
        </r>
      </text>
    </comment>
    <comment ref="R16" authorId="0">
      <text>
        <r>
          <rPr>
            <sz val="10"/>
            <color indexed="81"/>
            <rFont val="Tahoma"/>
            <family val="2"/>
          </rPr>
          <t xml:space="preserve">Input the Skew Angle for the </t>
        </r>
        <r>
          <rPr>
            <u/>
            <sz val="10"/>
            <color indexed="81"/>
            <rFont val="Tahoma"/>
            <family val="2"/>
          </rPr>
          <t>Proposed Bridge</t>
        </r>
        <r>
          <rPr>
            <sz val="10"/>
            <color indexed="81"/>
            <rFont val="Tahoma"/>
            <family val="2"/>
          </rPr>
          <t xml:space="preserve">.  If it unchanged from the value used for the existing bridge, the user may </t>
        </r>
        <r>
          <rPr>
            <b/>
            <sz val="10"/>
            <color indexed="81"/>
            <rFont val="Tahoma"/>
            <family val="2"/>
          </rPr>
          <t>leave this input blank</t>
        </r>
        <r>
          <rPr>
            <sz val="10"/>
            <color indexed="81"/>
            <rFont val="Tahoma"/>
            <family val="2"/>
          </rPr>
          <t xml:space="preserve"> and the program will use the value previously input for the existing bridge.</t>
        </r>
      </text>
    </comment>
    <comment ref="X16" authorId="0">
      <text>
        <r>
          <rPr>
            <sz val="10"/>
            <color indexed="81"/>
            <rFont val="Tahoma"/>
            <family val="2"/>
          </rPr>
          <t>Input the Face of Rail to Face of Rail Dimension for the Proposed Bridge.
Typically set to the larger of 24'-0" or the existing FOR to FOR dimension</t>
        </r>
      </text>
    </comment>
    <comment ref="R17" authorId="0">
      <text>
        <r>
          <rPr>
            <sz val="10"/>
            <color indexed="81"/>
            <rFont val="Tahoma"/>
            <family val="2"/>
          </rPr>
          <t>First input ("</t>
        </r>
        <r>
          <rPr>
            <b/>
            <sz val="10"/>
            <color indexed="81"/>
            <rFont val="Tahoma"/>
            <family val="2"/>
          </rPr>
          <t>yes/no"</t>
        </r>
        <r>
          <rPr>
            <sz val="10"/>
            <color indexed="81"/>
            <rFont val="Tahoma"/>
            <family val="2"/>
          </rPr>
          <t>) is required.
Second input (</t>
        </r>
        <r>
          <rPr>
            <b/>
            <sz val="10"/>
            <color indexed="81"/>
            <rFont val="Tahoma"/>
            <family val="2"/>
          </rPr>
          <t>comment</t>
        </r>
        <r>
          <rPr>
            <sz val="10"/>
            <color indexed="81"/>
            <rFont val="Tahoma"/>
            <family val="2"/>
          </rPr>
          <t>) is optional.  MWR requested a comment for a reason when "</t>
        </r>
        <r>
          <rPr>
            <b/>
            <sz val="10"/>
            <color indexed="81"/>
            <rFont val="Tahoma"/>
            <family val="2"/>
          </rPr>
          <t>no</t>
        </r>
        <r>
          <rPr>
            <sz val="10"/>
            <color indexed="81"/>
            <rFont val="Tahoma"/>
            <family val="2"/>
          </rPr>
          <t xml:space="preserve">" is selected by user.
</t>
        </r>
        <r>
          <rPr>
            <b/>
            <sz val="10"/>
            <color indexed="81"/>
            <rFont val="Tahoma"/>
            <family val="2"/>
          </rPr>
          <t>Note:</t>
        </r>
        <r>
          <rPr>
            <sz val="10"/>
            <color indexed="81"/>
            <rFont val="Tahoma"/>
            <family val="2"/>
          </rPr>
          <t xml:space="preserve">  The comments are choosen from a pull down list. To see where the list is located, make sure you are on the cell for which you want to see the list and from the excel menus, choose Data/Data Validation/Data Validation.  In the window that pops up, click the button to the right of the "Source" range shown and it will show the user where the referenced list is.  Note that there are several blank cell at the end of the list which the user can populate (will populate with blue, bold font).  Leave the first cell in the list blank and do not alter the existing values.
Examples: if no temp bridge and no phased construction, possible notation might be "Rdwy to be Closed" or "Detour".  If temp bridge provided and still need phased construction, notation might be "proximity to diversion"</t>
        </r>
      </text>
    </comment>
    <comment ref="X17" authorId="0">
      <text>
        <r>
          <rPr>
            <sz val="10"/>
            <color indexed="81"/>
            <rFont val="Tahoma"/>
            <family val="2"/>
          </rPr>
          <t xml:space="preserve">The program </t>
        </r>
        <r>
          <rPr>
            <u/>
            <sz val="10"/>
            <color indexed="81"/>
            <rFont val="Tahoma"/>
            <family val="2"/>
          </rPr>
          <t>automatically calculates</t>
        </r>
        <r>
          <rPr>
            <sz val="10"/>
            <color indexed="81"/>
            <rFont val="Tahoma"/>
            <family val="2"/>
          </rPr>
          <t xml:space="preserve"> the Curb to Curb Bridge Width as follows:
</t>
        </r>
        <r>
          <rPr>
            <b/>
            <sz val="10"/>
            <color indexed="81"/>
            <rFont val="Tahoma"/>
            <family val="2"/>
          </rPr>
          <t>No sidewalks defined (Sidewalk input = 'None'):</t>
        </r>
        <r>
          <rPr>
            <sz val="10"/>
            <color indexed="81"/>
            <rFont val="Tahoma"/>
            <family val="2"/>
          </rPr>
          <t xml:space="preserve">  (raised curbes on both fascias)  1'-0" less than the Face of Rail to Face of Rail dimension.
</t>
        </r>
        <r>
          <rPr>
            <b/>
            <sz val="10"/>
            <color indexed="81"/>
            <rFont val="Tahoma"/>
            <family val="2"/>
          </rPr>
          <t>Sidewalks defined (Sidewalk input = '1 Side' or '2 Sides'):</t>
        </r>
        <r>
          <rPr>
            <sz val="10"/>
            <color indexed="81"/>
            <rFont val="Tahoma"/>
            <family val="2"/>
          </rPr>
          <t xml:space="preserve"> Face of Rail to Face of Rail dimension minus the greater of the sidewalk width for each side of the bridge with a sidewalk and 6" for each side without a sidewalk.
</t>
        </r>
        <r>
          <rPr>
            <b/>
            <sz val="10"/>
            <color indexed="81"/>
            <rFont val="Tahoma"/>
            <family val="2"/>
          </rPr>
          <t>No raised curbs exist (Sidewalk input = 'n/a'):</t>
        </r>
        <r>
          <rPr>
            <sz val="10"/>
            <color indexed="81"/>
            <rFont val="Tahoma"/>
            <family val="2"/>
          </rPr>
          <t xml:space="preserve"> Curb to Curb dimension = Face of Rail to Face of Rail dimension 
If the user wishes to use something different, input the value here as an override.</t>
        </r>
      </text>
    </comment>
    <comment ref="X18" authorId="0">
      <text>
        <r>
          <rPr>
            <sz val="10"/>
            <color indexed="81"/>
            <rFont val="Tahoma"/>
            <family val="2"/>
          </rPr>
          <t xml:space="preserve">If the user wishes to show just the total length, input the lengths required for Appr 1 and Appr 2 and nothing else.  To distinguish the amounts on each approach in a note, the user can add the approach designations and/or comments to each approach.
</t>
        </r>
        <r>
          <rPr>
            <b/>
            <sz val="10"/>
            <color indexed="81"/>
            <rFont val="Tahoma"/>
            <family val="2"/>
          </rPr>
          <t>Note:
1.</t>
        </r>
        <r>
          <rPr>
            <sz val="10"/>
            <color indexed="81"/>
            <rFont val="Tahoma"/>
            <family val="2"/>
          </rPr>
          <t xml:space="preserve">  If the user indicates one designation but two lengths, the program will prompt for the second designation.  The user can disregard the prompt if desired.
</t>
        </r>
        <r>
          <rPr>
            <b/>
            <sz val="10"/>
            <color indexed="81"/>
            <rFont val="Tahoma"/>
            <family val="2"/>
          </rPr>
          <t>2.</t>
        </r>
        <r>
          <rPr>
            <sz val="10"/>
            <color indexed="81"/>
            <rFont val="Tahoma"/>
            <family val="2"/>
          </rPr>
          <t xml:space="preserve">  If a rehabilitation with no approach work, input "n/a" for the Appr 1 Length.
</t>
        </r>
        <r>
          <rPr>
            <b/>
            <sz val="10"/>
            <color indexed="81"/>
            <rFont val="Tahoma"/>
            <family val="2"/>
          </rPr>
          <t>3.</t>
        </r>
        <r>
          <rPr>
            <sz val="10"/>
            <color indexed="81"/>
            <rFont val="Tahoma"/>
            <family val="2"/>
          </rPr>
          <t xml:space="preserve">  If the approach work is going to be done as part of highway cost, input "Not Included".  
</t>
        </r>
        <r>
          <rPr>
            <b/>
            <sz val="10"/>
            <color indexed="81"/>
            <rFont val="Tahoma"/>
            <family val="2"/>
          </rPr>
          <t>4.</t>
        </r>
        <r>
          <rPr>
            <sz val="10"/>
            <color indexed="81"/>
            <rFont val="Tahoma"/>
            <family val="2"/>
          </rPr>
          <t xml:space="preserve">  If the user wishes that 0ft is shown, leave Appr 1 and 2 lengths blank.</t>
        </r>
      </text>
    </comment>
    <comment ref="AA18" authorId="0">
      <text>
        <r>
          <rPr>
            <sz val="10"/>
            <color indexed="81"/>
            <rFont val="Tahoma"/>
            <family val="2"/>
          </rPr>
          <t>Use the space under each approach to write individual comments as required.</t>
        </r>
      </text>
    </comment>
    <comment ref="R19" authorId="0">
      <text>
        <r>
          <rPr>
            <sz val="10"/>
            <color indexed="81"/>
            <rFont val="Tahoma"/>
            <family val="2"/>
          </rPr>
          <t xml:space="preserve">Input whether the new structure will have sidewalks on </t>
        </r>
        <r>
          <rPr>
            <b/>
            <sz val="10"/>
            <color indexed="81"/>
            <rFont val="Tahoma"/>
            <family val="2"/>
          </rPr>
          <t>1 side</t>
        </r>
        <r>
          <rPr>
            <sz val="10"/>
            <color indexed="81"/>
            <rFont val="Tahoma"/>
            <family val="2"/>
          </rPr>
          <t xml:space="preserve">, </t>
        </r>
        <r>
          <rPr>
            <b/>
            <sz val="10"/>
            <color indexed="81"/>
            <rFont val="Tahoma"/>
            <family val="2"/>
          </rPr>
          <t>2 sides</t>
        </r>
        <r>
          <rPr>
            <sz val="10"/>
            <color indexed="81"/>
            <rFont val="Tahoma"/>
            <family val="2"/>
          </rPr>
          <t xml:space="preserve"> or</t>
        </r>
        <r>
          <rPr>
            <b/>
            <sz val="10"/>
            <color indexed="81"/>
            <rFont val="Tahoma"/>
            <family val="2"/>
          </rPr>
          <t xml:space="preserve"> no sides</t>
        </r>
        <r>
          <rPr>
            <sz val="10"/>
            <color indexed="81"/>
            <rFont val="Tahoma"/>
            <family val="2"/>
          </rPr>
          <t>.  If the new structure will not have a grade change at the face of rail (I.e. no curb), input</t>
        </r>
        <r>
          <rPr>
            <b/>
            <sz val="10"/>
            <color indexed="81"/>
            <rFont val="Tahoma"/>
            <family val="2"/>
          </rPr>
          <t xml:space="preserve"> n/a</t>
        </r>
        <r>
          <rPr>
            <sz val="10"/>
            <color indexed="81"/>
            <rFont val="Tahoma"/>
            <family val="2"/>
          </rPr>
          <t xml:space="preserve">.  Defining as </t>
        </r>
        <r>
          <rPr>
            <b/>
            <sz val="10"/>
            <color indexed="81"/>
            <rFont val="Tahoma"/>
            <family val="2"/>
          </rPr>
          <t>n/a</t>
        </r>
        <r>
          <rPr>
            <sz val="10"/>
            <color indexed="81"/>
            <rFont val="Tahoma"/>
            <family val="2"/>
          </rPr>
          <t xml:space="preserve">  will result in the Curb/Curb width and Rail Face/Face dimensions to be the same.</t>
        </r>
      </text>
    </comment>
    <comment ref="R24" authorId="0">
      <text>
        <r>
          <rPr>
            <sz val="10"/>
            <color indexed="81"/>
            <rFont val="Tahoma"/>
            <family val="2"/>
          </rPr>
          <t xml:space="preserve">This input turns on/off unrounded calculated values for the engineers review.  </t>
        </r>
      </text>
    </comment>
    <comment ref="T26" authorId="0">
      <text>
        <r>
          <rPr>
            <sz val="10"/>
            <color indexed="81"/>
            <rFont val="Tahoma"/>
            <family val="2"/>
          </rPr>
          <t xml:space="preserve">Input in $10k increments
</t>
        </r>
      </text>
    </comment>
    <comment ref="T27" authorId="0">
      <text>
        <r>
          <rPr>
            <sz val="10"/>
            <color indexed="81"/>
            <rFont val="Tahoma"/>
            <family val="2"/>
          </rPr>
          <t xml:space="preserve">Input in $10k increments
</t>
        </r>
      </text>
    </comment>
    <comment ref="Y28" authorId="0">
      <text>
        <r>
          <rPr>
            <sz val="10"/>
            <color indexed="81"/>
            <rFont val="Tahoma"/>
            <family val="2"/>
          </rPr>
          <t>If the user inputs a dollar value here and it doesn't show up in the applicable place within the print window, check cells Y19 and Y20 to see if either approach slab designation reads "Not Included".  This notation in either cell will result in "$-------" in the cell representing the cost.</t>
        </r>
      </text>
    </comment>
    <comment ref="T33" authorId="0">
      <text>
        <r>
          <rPr>
            <sz val="10"/>
            <color indexed="81"/>
            <rFont val="Tahoma"/>
            <family val="2"/>
          </rPr>
          <t xml:space="preserve">For </t>
        </r>
        <r>
          <rPr>
            <b/>
            <sz val="10"/>
            <color indexed="81"/>
            <rFont val="Tahoma"/>
            <family val="2"/>
          </rPr>
          <t>Contingencies</t>
        </r>
        <r>
          <rPr>
            <sz val="10"/>
            <color indexed="81"/>
            <rFont val="Tahoma"/>
            <family val="2"/>
          </rPr>
          <t xml:space="preserve">, input either a </t>
        </r>
        <r>
          <rPr>
            <b/>
            <sz val="10"/>
            <color indexed="81"/>
            <rFont val="Tahoma"/>
            <family val="2"/>
          </rPr>
          <t>%</t>
        </r>
        <r>
          <rPr>
            <sz val="10"/>
            <color indexed="81"/>
            <rFont val="Tahoma"/>
            <family val="2"/>
          </rPr>
          <t xml:space="preserve"> or </t>
        </r>
        <r>
          <rPr>
            <b/>
            <sz val="10"/>
            <color indexed="81"/>
            <rFont val="Tahoma"/>
            <family val="2"/>
          </rPr>
          <t>total $</t>
        </r>
        <r>
          <rPr>
            <sz val="10"/>
            <color indexed="81"/>
            <rFont val="Tahoma"/>
            <family val="2"/>
          </rPr>
          <t xml:space="preserve"> amount.  The % is multiplied by the Bridge and Approach Costs and the total $ amount overrides the % calculation.
</t>
        </r>
        <r>
          <rPr>
            <b/>
            <sz val="10"/>
            <color indexed="81"/>
            <rFont val="Tahoma"/>
            <family val="2"/>
          </rPr>
          <t>Note:</t>
        </r>
        <r>
          <rPr>
            <sz val="10"/>
            <color indexed="81"/>
            <rFont val="Tahoma"/>
            <family val="2"/>
          </rPr>
          <t xml:space="preserve">  If </t>
        </r>
        <r>
          <rPr>
            <b/>
            <sz val="10"/>
            <color indexed="81"/>
            <rFont val="Tahoma"/>
            <family val="2"/>
          </rPr>
          <t>Ttl Cost</t>
        </r>
        <r>
          <rPr>
            <sz val="10"/>
            <color indexed="81"/>
            <rFont val="Tahoma"/>
            <family val="2"/>
          </rPr>
          <t xml:space="preserve"> used, leave </t>
        </r>
        <r>
          <rPr>
            <b/>
            <sz val="10"/>
            <color indexed="81"/>
            <rFont val="Tahoma"/>
            <family val="2"/>
          </rPr>
          <t>%</t>
        </r>
        <r>
          <rPr>
            <sz val="10"/>
            <color indexed="81"/>
            <rFont val="Tahoma"/>
            <family val="2"/>
          </rPr>
          <t xml:space="preserve"> input cell blank and vice versa.
</t>
        </r>
      </text>
    </comment>
    <comment ref="T35" authorId="0">
      <text>
        <r>
          <rPr>
            <sz val="10"/>
            <color indexed="81"/>
            <rFont val="Tahoma"/>
            <family val="2"/>
          </rPr>
          <t xml:space="preserve">For </t>
        </r>
        <r>
          <rPr>
            <b/>
            <sz val="10"/>
            <color indexed="81"/>
            <rFont val="Tahoma"/>
            <family val="2"/>
          </rPr>
          <t>Premiminary Engineering (PE)</t>
        </r>
        <r>
          <rPr>
            <sz val="10"/>
            <color indexed="81"/>
            <rFont val="Tahoma"/>
            <family val="2"/>
          </rPr>
          <t xml:space="preserve">, input either a </t>
        </r>
        <r>
          <rPr>
            <b/>
            <sz val="10"/>
            <color indexed="81"/>
            <rFont val="Tahoma"/>
            <family val="2"/>
          </rPr>
          <t>%</t>
        </r>
        <r>
          <rPr>
            <sz val="10"/>
            <color indexed="81"/>
            <rFont val="Tahoma"/>
            <family val="2"/>
          </rPr>
          <t xml:space="preserve"> or </t>
        </r>
        <r>
          <rPr>
            <b/>
            <sz val="10"/>
            <color indexed="81"/>
            <rFont val="Tahoma"/>
            <family val="2"/>
          </rPr>
          <t>total $</t>
        </r>
        <r>
          <rPr>
            <sz val="10"/>
            <color indexed="81"/>
            <rFont val="Tahoma"/>
            <family val="2"/>
          </rPr>
          <t xml:space="preserve"> amount.  The % is applied to the subtotal amount of the Bridge, Approach, Contingencies and Temp Detour costs.  
See bridge manual for % to be used based on Bridge and Rdwy costs.
Per MWR, PE amount input value or calculated value should be rounded to the nearest $10K.
</t>
        </r>
        <r>
          <rPr>
            <b/>
            <sz val="10"/>
            <color indexed="81"/>
            <rFont val="Tahoma"/>
            <family val="2"/>
          </rPr>
          <t>Note:</t>
        </r>
        <r>
          <rPr>
            <sz val="10"/>
            <color indexed="81"/>
            <rFont val="Tahoma"/>
            <family val="2"/>
          </rPr>
          <t xml:space="preserve">  If </t>
        </r>
        <r>
          <rPr>
            <b/>
            <sz val="10"/>
            <color indexed="81"/>
            <rFont val="Tahoma"/>
            <family val="2"/>
          </rPr>
          <t>Ttl Cost</t>
        </r>
        <r>
          <rPr>
            <sz val="10"/>
            <color indexed="81"/>
            <rFont val="Tahoma"/>
            <family val="2"/>
          </rPr>
          <t xml:space="preserve"> used, leave </t>
        </r>
        <r>
          <rPr>
            <b/>
            <sz val="10"/>
            <color indexed="81"/>
            <rFont val="Tahoma"/>
            <family val="2"/>
          </rPr>
          <t>%</t>
        </r>
        <r>
          <rPr>
            <sz val="10"/>
            <color indexed="81"/>
            <rFont val="Tahoma"/>
            <family val="2"/>
          </rPr>
          <t xml:space="preserve"> input cell blank and vice versa.  </t>
        </r>
      </text>
    </comment>
    <comment ref="T36" authorId="0">
      <text>
        <r>
          <rPr>
            <b/>
            <sz val="10"/>
            <color indexed="81"/>
            <rFont val="Tahoma"/>
            <family val="2"/>
          </rPr>
          <t>Envinronmental &amp; Cultural Reviews/Permitting"</t>
        </r>
        <r>
          <rPr>
            <sz val="10"/>
            <color indexed="81"/>
            <rFont val="Tahoma"/>
            <family val="2"/>
          </rPr>
          <t xml:space="preserve">
</t>
        </r>
        <r>
          <rPr>
            <sz val="4"/>
            <color indexed="81"/>
            <rFont val="Tahoma"/>
            <family val="2"/>
          </rPr>
          <t xml:space="preserve"> </t>
        </r>
        <r>
          <rPr>
            <sz val="10"/>
            <color indexed="81"/>
            <rFont val="Tahoma"/>
            <family val="2"/>
          </rPr>
          <t xml:space="preserve">
Typical baseline value of $10,000.  Use larger number if particular envinronmental concerns or stone walls, etc encountered during field visits.</t>
        </r>
      </text>
    </comment>
    <comment ref="T37" authorId="0">
      <text>
        <r>
          <rPr>
            <b/>
            <sz val="10"/>
            <color indexed="81"/>
            <rFont val="Tahoma"/>
            <family val="2"/>
          </rPr>
          <t>For "Bridge Replacement":</t>
        </r>
        <r>
          <rPr>
            <sz val="10"/>
            <color indexed="81"/>
            <rFont val="Tahoma"/>
            <family val="2"/>
          </rPr>
          <t xml:space="preserve">
</t>
        </r>
        <r>
          <rPr>
            <sz val="4"/>
            <color indexed="81"/>
            <rFont val="Tahoma"/>
            <family val="2"/>
          </rPr>
          <t xml:space="preserve"> </t>
        </r>
        <r>
          <rPr>
            <sz val="10"/>
            <color indexed="81"/>
            <rFont val="Tahoma"/>
            <family val="2"/>
          </rPr>
          <t xml:space="preserve">
Input a </t>
        </r>
        <r>
          <rPr>
            <b/>
            <sz val="10"/>
            <color indexed="81"/>
            <rFont val="Tahoma"/>
            <family val="2"/>
          </rPr>
          <t>%</t>
        </r>
        <r>
          <rPr>
            <sz val="10"/>
            <color indexed="81"/>
            <rFont val="Tahoma"/>
            <family val="2"/>
          </rPr>
          <t xml:space="preserve"> or </t>
        </r>
        <r>
          <rPr>
            <b/>
            <sz val="10"/>
            <color indexed="81"/>
            <rFont val="Tahoma"/>
            <family val="2"/>
          </rPr>
          <t>total $</t>
        </r>
        <r>
          <rPr>
            <sz val="10"/>
            <color indexed="81"/>
            <rFont val="Tahoma"/>
            <family val="2"/>
          </rPr>
          <t xml:space="preserve"> amount.  The % is multiplied by the Replacement sub total cost and the $ amount overrides the % calculation.
See bridge manual for % to be used based on Bridge and Rdwy cost.
</t>
        </r>
        <r>
          <rPr>
            <b/>
            <sz val="10"/>
            <color indexed="81"/>
            <rFont val="Tahoma"/>
            <family val="2"/>
          </rPr>
          <t>For "Rehab. Of Exist. Br.":</t>
        </r>
        <r>
          <rPr>
            <sz val="10"/>
            <color indexed="81"/>
            <rFont val="Tahoma"/>
            <family val="2"/>
          </rPr>
          <t xml:space="preserve">
There is no sub total to multiply the % by so the user must input a </t>
        </r>
        <r>
          <rPr>
            <b/>
            <sz val="10"/>
            <color indexed="81"/>
            <rFont val="Tahoma"/>
            <family val="2"/>
          </rPr>
          <t>total $</t>
        </r>
        <r>
          <rPr>
            <sz val="10"/>
            <color indexed="81"/>
            <rFont val="Tahoma"/>
            <family val="2"/>
          </rPr>
          <t xml:space="preserve"> amount.
</t>
        </r>
        <r>
          <rPr>
            <b/>
            <sz val="10"/>
            <color indexed="81"/>
            <rFont val="Tahoma"/>
            <family val="2"/>
          </rPr>
          <t>Note:</t>
        </r>
        <r>
          <rPr>
            <sz val="10"/>
            <color indexed="81"/>
            <rFont val="Tahoma"/>
            <family val="2"/>
          </rPr>
          <t xml:space="preserve">  If </t>
        </r>
        <r>
          <rPr>
            <b/>
            <sz val="10"/>
            <color indexed="81"/>
            <rFont val="Tahoma"/>
            <family val="2"/>
          </rPr>
          <t>Ttl Cost</t>
        </r>
        <r>
          <rPr>
            <sz val="10"/>
            <color indexed="81"/>
            <rFont val="Tahoma"/>
            <family val="2"/>
          </rPr>
          <t xml:space="preserve"> used, leave </t>
        </r>
        <r>
          <rPr>
            <b/>
            <sz val="10"/>
            <color indexed="81"/>
            <rFont val="Tahoma"/>
            <family val="2"/>
          </rPr>
          <t>%</t>
        </r>
        <r>
          <rPr>
            <sz val="10"/>
            <color indexed="81"/>
            <rFont val="Tahoma"/>
            <family val="2"/>
          </rPr>
          <t xml:space="preserve"> input cell blank and vice versa.</t>
        </r>
      </text>
    </comment>
    <comment ref="T38" authorId="0">
      <text>
        <r>
          <rPr>
            <b/>
            <sz val="10"/>
            <color indexed="81"/>
            <rFont val="Tahoma"/>
            <family val="2"/>
          </rPr>
          <t>ROW:</t>
        </r>
        <r>
          <rPr>
            <sz val="10"/>
            <color indexed="81"/>
            <rFont val="Tahoma"/>
            <family val="2"/>
          </rPr>
          <t xml:space="preserve">
</t>
        </r>
        <r>
          <rPr>
            <sz val="4"/>
            <color indexed="81"/>
            <rFont val="Tahoma"/>
            <family val="2"/>
          </rPr>
          <t xml:space="preserve"> </t>
        </r>
        <r>
          <rPr>
            <sz val="10"/>
            <color indexed="81"/>
            <rFont val="Tahoma"/>
            <family val="2"/>
          </rPr>
          <t xml:space="preserve">
Typical baseline value of $5,000.  Use larger number proposed structure expected to require acquisition (i.e. widening, diversion requirements etc.)</t>
        </r>
      </text>
    </comment>
    <comment ref="S51" authorId="0">
      <text>
        <r>
          <rPr>
            <sz val="10"/>
            <color indexed="81"/>
            <rFont val="Tahoma"/>
            <family val="2"/>
          </rPr>
          <t>If year built is not known, input "</t>
        </r>
        <r>
          <rPr>
            <b/>
            <sz val="10"/>
            <color indexed="81"/>
            <rFont val="Tahoma"/>
            <family val="2"/>
          </rPr>
          <t>Unknown</t>
        </r>
        <r>
          <rPr>
            <sz val="10"/>
            <color indexed="81"/>
            <rFont val="Tahoma"/>
            <family val="2"/>
          </rPr>
          <t>"</t>
        </r>
      </text>
    </comment>
    <comment ref="S53" authorId="0">
      <text>
        <r>
          <rPr>
            <sz val="10"/>
            <color indexed="81"/>
            <rFont val="Tahoma"/>
            <family val="2"/>
          </rPr>
          <t>The user has the option of inputing both present and future values.  If the user wishes, only one set of data can be entered (in the "Present" cells) and the estimate will present only that one set of data.</t>
        </r>
      </text>
    </comment>
    <comment ref="X53" authorId="0">
      <text>
        <r>
          <rPr>
            <sz val="10"/>
            <color indexed="81"/>
            <rFont val="Tahoma"/>
            <family val="2"/>
          </rPr>
          <t>If the width is constant, input Width(1) only.  If it varies, input the start and end range values as Width(1) and Width(2).</t>
        </r>
      </text>
    </comment>
    <comment ref="AB54" authorId="0">
      <text>
        <r>
          <rPr>
            <u/>
            <sz val="10"/>
            <color indexed="81"/>
            <rFont val="Tahoma"/>
            <family val="2"/>
          </rPr>
          <t>From pull down menu:</t>
        </r>
        <r>
          <rPr>
            <sz val="10"/>
            <color indexed="81"/>
            <rFont val="Tahoma"/>
            <family val="2"/>
          </rPr>
          <t xml:space="preserve">  
If bridge over roadway, input "N/A".  If no Hydraulic Data is available, choose "None Available" and input nothing for the Q50 and Q100 cells.  Else choose "Fema" or "FIRM 2006" and input either or both of the Q50 or Q100 values.</t>
        </r>
      </text>
    </comment>
    <comment ref="S56" authorId="0">
      <text>
        <r>
          <rPr>
            <sz val="10"/>
            <color indexed="81"/>
            <rFont val="Tahoma"/>
            <family val="2"/>
          </rPr>
          <t>Input the detour length in miles.  If there is no detour (i.e. a deadend road), the input of distance can be omitted and in the cell to the right, choose "Dead End" from the pull down menu.  This will cause the mileage value to be ignored and the verbiage of "Dead End" to be written on the memo.</t>
        </r>
      </text>
    </comment>
    <comment ref="X56" authorId="0">
      <text>
        <r>
          <rPr>
            <sz val="10"/>
            <color indexed="81"/>
            <rFont val="Tahoma"/>
            <family val="2"/>
          </rPr>
          <t xml:space="preserve">From the pull down menu, pick the posting designation.  For posting designation of "Wgt Lmt:", </t>
        </r>
        <r>
          <rPr>
            <u/>
            <sz val="10"/>
            <color indexed="81"/>
            <rFont val="Tahoma"/>
            <family val="2"/>
          </rPr>
          <t>additionally</t>
        </r>
        <r>
          <rPr>
            <sz val="10"/>
            <color indexed="81"/>
            <rFont val="Tahoma"/>
            <family val="2"/>
          </rPr>
          <t xml:space="preserve"> input the posting tonnage.</t>
        </r>
      </text>
    </comment>
    <comment ref="S57" authorId="0">
      <text>
        <r>
          <rPr>
            <sz val="10"/>
            <color indexed="81"/>
            <rFont val="Tahoma"/>
            <family val="2"/>
          </rPr>
          <t xml:space="preserve">PONTIS Definition of Entries:
1. </t>
        </r>
        <r>
          <rPr>
            <u/>
            <sz val="10"/>
            <color indexed="81"/>
            <rFont val="Tahoma"/>
            <family val="2"/>
          </rPr>
          <t>On Register (Historic)</t>
        </r>
        <r>
          <rPr>
            <sz val="10"/>
            <color indexed="81"/>
            <rFont val="Tahoma"/>
            <family val="2"/>
          </rPr>
          <t xml:space="preserve">:  Bridge is on National Register of Historic Places.
2. </t>
        </r>
        <r>
          <rPr>
            <u/>
            <sz val="10"/>
            <color indexed="81"/>
            <rFont val="Tahoma"/>
            <family val="2"/>
          </rPr>
          <t>Eligible (Historic)</t>
        </r>
        <r>
          <rPr>
            <sz val="10"/>
            <color indexed="81"/>
            <rFont val="Tahoma"/>
            <family val="2"/>
          </rPr>
          <t xml:space="preserve">:  Bridge is eligible for the National Register of Historic Places.  
3. </t>
        </r>
        <r>
          <rPr>
            <u/>
            <sz val="10"/>
            <color indexed="81"/>
            <rFont val="Tahoma"/>
            <family val="2"/>
          </rPr>
          <t>Possibly Eligible</t>
        </r>
        <r>
          <rPr>
            <sz val="10"/>
            <color indexed="81"/>
            <rFont val="Tahoma"/>
            <family val="2"/>
          </rPr>
          <t xml:space="preserve">:  Bridge is possibly eligible for the National Register of Historic Places (Requires Further Investigation).  
4. </t>
        </r>
        <r>
          <rPr>
            <u/>
            <sz val="10"/>
            <color indexed="81"/>
            <rFont val="Tahoma"/>
            <family val="2"/>
          </rPr>
          <t>Not Determinable</t>
        </r>
        <r>
          <rPr>
            <sz val="10"/>
            <color indexed="81"/>
            <rFont val="Tahoma"/>
            <family val="2"/>
          </rPr>
          <t xml:space="preserve">:  Historic Significance is not determinable at this time.  
5.  </t>
        </r>
        <r>
          <rPr>
            <u/>
            <sz val="10"/>
            <color indexed="81"/>
            <rFont val="Tahoma"/>
            <family val="2"/>
          </rPr>
          <t>Not Eligible</t>
        </r>
        <r>
          <rPr>
            <sz val="10"/>
            <color indexed="81"/>
            <rFont val="Tahoma"/>
            <family val="2"/>
          </rPr>
          <t xml:space="preserve">:  Bridge is not eligible for the National Register of Historic Places.
Memo Logic:
Step 1:  Is input value 1 or 2?
   Yes:  Memo indicates the Pontis value.
   No:  Go to Step 2
Step 2:  Is Age &lt; 40 Years?
   Yes:  Is Input Value 5?
                Yes:  Memo indicates "No"
                No:  Memo indicates "Potentially Historic"
                       for Input Value of 3 &amp; 4.
   No: Memo indicatates "Potentially Due To Age"
</t>
        </r>
      </text>
    </comment>
    <comment ref="X57" authorId="0">
      <text>
        <r>
          <rPr>
            <sz val="10"/>
            <color indexed="81"/>
            <rFont val="Tahoma"/>
            <family val="2"/>
          </rPr>
          <t>Input the Federal Sufficiency Rating if known.</t>
        </r>
      </text>
    </comment>
    <comment ref="D60" authorId="0">
      <text>
        <r>
          <rPr>
            <sz val="10"/>
            <color indexed="81"/>
            <rFont val="Tahoma"/>
            <family val="2"/>
          </rPr>
          <t xml:space="preserve">Up to </t>
        </r>
        <r>
          <rPr>
            <b/>
            <sz val="10"/>
            <color indexed="81"/>
            <rFont val="Tahoma"/>
            <family val="2"/>
          </rPr>
          <t>5 lines of notes</t>
        </r>
        <r>
          <rPr>
            <sz val="10"/>
            <color indexed="81"/>
            <rFont val="Tahoma"/>
            <family val="2"/>
          </rPr>
          <t xml:space="preserve"> may be shown on the form.  These 5 lines may be generated from 5 one line notes, 3 one line notes plus 1 two line note etc.
</t>
        </r>
        <r>
          <rPr>
            <b/>
            <sz val="10"/>
            <color indexed="81"/>
            <rFont val="Tahoma"/>
            <family val="2"/>
          </rPr>
          <t>Notes 1-5</t>
        </r>
        <r>
          <rPr>
            <sz val="10"/>
            <color indexed="81"/>
            <rFont val="Tahoma"/>
            <family val="2"/>
          </rPr>
          <t xml:space="preserve"> are uneditable with note 1 being a standard note and notes 2 &amp; 5 being generated depending on user input within the spreadsheet.  (see add'l comments on individual notes below).
</t>
        </r>
        <r>
          <rPr>
            <b/>
            <sz val="10"/>
            <color indexed="81"/>
            <rFont val="Tahoma"/>
            <family val="2"/>
          </rPr>
          <t>Notes 6-25</t>
        </r>
        <r>
          <rPr>
            <sz val="10"/>
            <color indexed="81"/>
            <rFont val="Tahoma"/>
            <family val="2"/>
          </rPr>
          <t xml:space="preserve"> are editable and are there to list commonly used notes that are not necessarily required on all bridges.  </t>
        </r>
        <r>
          <rPr>
            <b/>
            <sz val="10"/>
            <color indexed="81"/>
            <rFont val="Tahoma"/>
            <family val="2"/>
          </rPr>
          <t>Notes are to be edited on Estimate Pg 1 tab.</t>
        </r>
        <r>
          <rPr>
            <sz val="10"/>
            <color indexed="81"/>
            <rFont val="Tahoma"/>
            <family val="2"/>
          </rPr>
          <t xml:space="preserve">
Notes are added to the form by placing an </t>
        </r>
        <r>
          <rPr>
            <b/>
            <sz val="10"/>
            <color indexed="81"/>
            <rFont val="Tahoma"/>
            <family val="2"/>
          </rPr>
          <t>'x'</t>
        </r>
        <r>
          <rPr>
            <sz val="10"/>
            <color indexed="81"/>
            <rFont val="Tahoma"/>
            <family val="2"/>
          </rPr>
          <t xml:space="preserve"> in the cell to the left of the note.  To remove a note from the form, delete the </t>
        </r>
        <r>
          <rPr>
            <b/>
            <sz val="10"/>
            <color indexed="81"/>
            <rFont val="Tahoma"/>
            <family val="2"/>
          </rPr>
          <t>'x</t>
        </r>
        <r>
          <rPr>
            <sz val="10"/>
            <color indexed="81"/>
            <rFont val="Tahoma"/>
            <family val="2"/>
          </rPr>
          <t xml:space="preserve">' (i.e. leave the cell blank).
</t>
        </r>
      </text>
    </comment>
  </commentList>
</comments>
</file>

<file path=xl/sharedStrings.xml><?xml version="1.0" encoding="utf-8"?>
<sst xmlns="http://schemas.openxmlformats.org/spreadsheetml/2006/main" count="657" uniqueCount="360">
  <si>
    <t>ft</t>
  </si>
  <si>
    <t>Date:</t>
  </si>
  <si>
    <t>Location:</t>
  </si>
  <si>
    <t>File:</t>
  </si>
  <si>
    <t>By:</t>
  </si>
  <si>
    <t>Description:</t>
  </si>
  <si>
    <t>wps</t>
  </si>
  <si>
    <t>Base File</t>
  </si>
  <si>
    <t>STATE OF NEW HAMPSHIRE</t>
  </si>
  <si>
    <t>INTER-DEPARTMENT COMMUNICATION</t>
  </si>
  <si>
    <t>FROM</t>
  </si>
  <si>
    <t>SUBJECT</t>
  </si>
  <si>
    <t>TO</t>
  </si>
  <si>
    <t>Nancy J. Mayville, P.E.</t>
  </si>
  <si>
    <t>Municipal Highways Engineer</t>
  </si>
  <si>
    <t xml:space="preserve">Bureau of Planning and Community Assistance </t>
  </si>
  <si>
    <t>PRELIMINARY ESTIMATE</t>
  </si>
  <si>
    <t>Existing Bridge Site Data:</t>
  </si>
  <si>
    <t>Sub Total</t>
  </si>
  <si>
    <t xml:space="preserve">Preliminary Engineering </t>
  </si>
  <si>
    <t>Environmental &amp; Cultural Reviews/Permitting</t>
  </si>
  <si>
    <t>Right-of-Way Costs</t>
  </si>
  <si>
    <t>Type:</t>
  </si>
  <si>
    <t>E2</t>
  </si>
  <si>
    <t>No</t>
  </si>
  <si>
    <t>None Available</t>
  </si>
  <si>
    <t>Single Span</t>
  </si>
  <si>
    <t>FSR:</t>
  </si>
  <si>
    <t>Posting:</t>
  </si>
  <si>
    <t>Historical:</t>
  </si>
  <si>
    <t>Hydraulic Data:</t>
  </si>
  <si>
    <t>Utilities:</t>
  </si>
  <si>
    <t>ADT:</t>
  </si>
  <si>
    <t xml:space="preserve">Detour: </t>
  </si>
  <si>
    <t xml:space="preserve">Built: </t>
  </si>
  <si>
    <t>Yes</t>
  </si>
  <si>
    <t>Do Not Delete!</t>
  </si>
  <si>
    <t>Count:</t>
  </si>
  <si>
    <t>% Trucks</t>
  </si>
  <si>
    <t>Year</t>
  </si>
  <si>
    <t>Present:</t>
  </si>
  <si>
    <t>Future:</t>
  </si>
  <si>
    <t>E1</t>
  </si>
  <si>
    <t>C2</t>
  </si>
  <si>
    <t>C1</t>
  </si>
  <si>
    <t>Designation:</t>
  </si>
  <si>
    <t>"Inches"</t>
  </si>
  <si>
    <t>Rounding ( 1  /</t>
  </si>
  <si>
    <t>in)</t>
  </si>
  <si>
    <t>Accuracy =</t>
  </si>
  <si>
    <t>Width(1):</t>
  </si>
  <si>
    <t>Town:</t>
  </si>
  <si>
    <t>Br. No:</t>
  </si>
  <si>
    <t>Tons:</t>
  </si>
  <si>
    <t>Width(2):</t>
  </si>
  <si>
    <t>Skew:</t>
  </si>
  <si>
    <t>deg</t>
  </si>
  <si>
    <t>None</t>
  </si>
  <si>
    <t>Substandard</t>
  </si>
  <si>
    <t>Standard</t>
  </si>
  <si>
    <t>Standard Except Ends</t>
  </si>
  <si>
    <t>Comment:</t>
  </si>
  <si>
    <r>
      <t>Proposed Structure</t>
    </r>
    <r>
      <rPr>
        <sz val="11"/>
        <rFont val="Times New Roman"/>
        <family val="1"/>
      </rPr>
      <t>:</t>
    </r>
  </si>
  <si>
    <t>Bridge Type:</t>
  </si>
  <si>
    <t>Approaches:</t>
  </si>
  <si>
    <t>Multi Span</t>
  </si>
  <si>
    <t xml:space="preserve">Estimated Span: </t>
  </si>
  <si>
    <t xml:space="preserve">     1     </t>
  </si>
  <si>
    <t>Existing Bridge Length:</t>
  </si>
  <si>
    <t>Existing Bridge Width(1):</t>
  </si>
  <si>
    <t>Existing Bridge Width(2):</t>
  </si>
  <si>
    <t>Proposed Bridge Length:</t>
  </si>
  <si>
    <t>Proposed Face of Rail to Face of Rail Width:</t>
  </si>
  <si>
    <t>Proposed Out to Out Bridge Width:</t>
  </si>
  <si>
    <t>Proposed Curb to Curb Bridge Width:</t>
  </si>
  <si>
    <t>Sidewalk:</t>
  </si>
  <si>
    <t>1 Side</t>
  </si>
  <si>
    <t>2 Sides</t>
  </si>
  <si>
    <t>Sidewalk Width:</t>
  </si>
  <si>
    <t>Proposed Sidewalk Width</t>
  </si>
  <si>
    <t>Phased Construction:</t>
  </si>
  <si>
    <t>Temporary Bridge:</t>
  </si>
  <si>
    <t>FOR to FOR:</t>
  </si>
  <si>
    <t>Bridge Width:</t>
  </si>
  <si>
    <t>Curb to Curb:</t>
  </si>
  <si>
    <t>Approach 1 Length:</t>
  </si>
  <si>
    <t>Approach 2 Length:</t>
  </si>
  <si>
    <t>Total Approach Length:</t>
  </si>
  <si>
    <t>Waterway?</t>
  </si>
  <si>
    <t>Cost per SF =</t>
  </si>
  <si>
    <t>Cost for Cofferdams =</t>
  </si>
  <si>
    <t>Exist. Br. Removal Cost =</t>
  </si>
  <si>
    <t>Notes:</t>
  </si>
  <si>
    <t>Approach Roadway Cost =</t>
  </si>
  <si>
    <t>/ sf</t>
  </si>
  <si>
    <t>/ unit</t>
  </si>
  <si>
    <t>Mobilization Factor =</t>
  </si>
  <si>
    <t>Number of Rounding Places =</t>
  </si>
  <si>
    <t>Administrator, Bureau of Bridge Design</t>
  </si>
  <si>
    <t>DES Stream Crossing Guidlines may require a span length greater than that used in this estimate.</t>
  </si>
  <si>
    <t>N. Appr.</t>
  </si>
  <si>
    <t>S. Appr.</t>
  </si>
  <si>
    <t>E. Appr.</t>
  </si>
  <si>
    <t>W. Appr.</t>
  </si>
  <si>
    <t>NE. Appr.</t>
  </si>
  <si>
    <t>NW. Appr.</t>
  </si>
  <si>
    <t>SE. Appr.</t>
  </si>
  <si>
    <t>SW. Appr.</t>
  </si>
  <si>
    <t>SUMMARY OF ESTIMATED COST</t>
  </si>
  <si>
    <t>mi</t>
  </si>
  <si>
    <t xml:space="preserve">Width (ft): </t>
  </si>
  <si>
    <t>Appr 1:</t>
  </si>
  <si>
    <t>Appr 2:</t>
  </si>
  <si>
    <t>Length(ft):</t>
  </si>
  <si>
    <t>FEMA</t>
  </si>
  <si>
    <t>n/a</t>
  </si>
  <si>
    <t>GRAND TOTAL  (Engineering, ROW, Bridge, and Road Construction Costs)</t>
  </si>
  <si>
    <t>Contingencies</t>
  </si>
  <si>
    <t xml:space="preserve">Construction Engineering </t>
  </si>
  <si>
    <t xml:space="preserve">Br. &amp; Appr. Rail: </t>
  </si>
  <si>
    <t>Bridge Cost</t>
  </si>
  <si>
    <t>The width of the existing bridge noted is edge of gravel to edge of gravel.  Exist. culvert length is approx. 30'.</t>
  </si>
  <si>
    <t>Rehabilitation cost includes deck, superstructure and substructure.</t>
  </si>
  <si>
    <t>Rehabilitation cost includes deck and superstructure.</t>
  </si>
  <si>
    <t>Dead End</t>
  </si>
  <si>
    <t>On Register (Historic)</t>
  </si>
  <si>
    <t>Eligible (Historic)</t>
  </si>
  <si>
    <t>Not Determinable</t>
  </si>
  <si>
    <t>Not Eligible</t>
  </si>
  <si>
    <t>Struc Age:</t>
  </si>
  <si>
    <t>yrs</t>
  </si>
  <si>
    <t>Possibly Eligible</t>
  </si>
  <si>
    <t>Bridge Cost:</t>
  </si>
  <si>
    <t>Replacement or Rehabilitation!</t>
  </si>
  <si>
    <t>or</t>
  </si>
  <si>
    <t>Ttl Amount:</t>
  </si>
  <si>
    <t>Assumed none required.</t>
  </si>
  <si>
    <t xml:space="preserve"> </t>
  </si>
  <si>
    <r>
      <t>Built</t>
    </r>
    <r>
      <rPr>
        <sz val="10"/>
        <rFont val="Times New Roman"/>
        <family val="1"/>
      </rPr>
      <t xml:space="preserve">: </t>
    </r>
  </si>
  <si>
    <r>
      <t>Length</t>
    </r>
    <r>
      <rPr>
        <sz val="10"/>
        <rFont val="Times New Roman"/>
        <family val="1"/>
      </rPr>
      <t>:</t>
    </r>
  </si>
  <si>
    <r>
      <t>Br. &amp; Appr. Rail</t>
    </r>
    <r>
      <rPr>
        <sz val="10"/>
        <rFont val="Times New Roman"/>
        <family val="1"/>
      </rPr>
      <t xml:space="preserve">: </t>
    </r>
  </si>
  <si>
    <r>
      <t>Width</t>
    </r>
    <r>
      <rPr>
        <sz val="10"/>
        <rFont val="Times New Roman"/>
        <family val="1"/>
      </rPr>
      <t xml:space="preserve">: </t>
    </r>
  </si>
  <si>
    <r>
      <t>Utilities</t>
    </r>
    <r>
      <rPr>
        <sz val="10"/>
        <rFont val="Times New Roman"/>
        <family val="1"/>
      </rPr>
      <t>:</t>
    </r>
  </si>
  <si>
    <r>
      <t>ADT</t>
    </r>
    <r>
      <rPr>
        <sz val="10"/>
        <rFont val="Times New Roman"/>
        <family val="1"/>
      </rPr>
      <t>:</t>
    </r>
  </si>
  <si>
    <r>
      <t>Skew</t>
    </r>
    <r>
      <rPr>
        <sz val="10"/>
        <rFont val="Times New Roman"/>
        <family val="1"/>
      </rPr>
      <t>:</t>
    </r>
  </si>
  <si>
    <r>
      <t>Detour</t>
    </r>
    <r>
      <rPr>
        <sz val="10"/>
        <rFont val="Times New Roman"/>
        <family val="1"/>
      </rPr>
      <t xml:space="preserve">: </t>
    </r>
  </si>
  <si>
    <r>
      <t>Posting</t>
    </r>
    <r>
      <rPr>
        <sz val="10"/>
        <rFont val="Times New Roman"/>
        <family val="1"/>
      </rPr>
      <t>:</t>
    </r>
  </si>
  <si>
    <r>
      <t>Hydraulic Data</t>
    </r>
    <r>
      <rPr>
        <sz val="10"/>
        <rFont val="Times New Roman"/>
        <family val="1"/>
      </rPr>
      <t>:</t>
    </r>
  </si>
  <si>
    <r>
      <t>Historical</t>
    </r>
    <r>
      <rPr>
        <sz val="10"/>
        <rFont val="Times New Roman"/>
        <family val="1"/>
      </rPr>
      <t>:</t>
    </r>
  </si>
  <si>
    <r>
      <t>FSR</t>
    </r>
    <r>
      <rPr>
        <sz val="10"/>
        <rFont val="Times New Roman"/>
        <family val="1"/>
      </rPr>
      <t>:</t>
    </r>
  </si>
  <si>
    <r>
      <t>Q</t>
    </r>
    <r>
      <rPr>
        <vertAlign val="subscript"/>
        <sz val="10"/>
        <rFont val="Times New Roman"/>
        <family val="1"/>
      </rPr>
      <t>50</t>
    </r>
    <r>
      <rPr>
        <sz val="10"/>
        <rFont val="Times New Roman"/>
        <family val="1"/>
      </rPr>
      <t xml:space="preserve"> =</t>
    </r>
  </si>
  <si>
    <r>
      <t>Q</t>
    </r>
    <r>
      <rPr>
        <vertAlign val="subscript"/>
        <sz val="10"/>
        <rFont val="Times New Roman"/>
        <family val="1"/>
      </rPr>
      <t>100</t>
    </r>
    <r>
      <rPr>
        <sz val="10"/>
        <rFont val="Times New Roman"/>
        <family val="1"/>
      </rPr>
      <t xml:space="preserve"> =</t>
    </r>
  </si>
  <si>
    <r>
      <t>Type</t>
    </r>
    <r>
      <rPr>
        <sz val="10"/>
        <rFont val="Times New Roman"/>
        <family val="1"/>
      </rPr>
      <t>:</t>
    </r>
  </si>
  <si>
    <r>
      <t>Temp. Bridge</t>
    </r>
    <r>
      <rPr>
        <sz val="10"/>
        <rFont val="Times New Roman"/>
        <family val="1"/>
      </rPr>
      <t>:</t>
    </r>
  </si>
  <si>
    <r>
      <t>Est. Span</t>
    </r>
    <r>
      <rPr>
        <sz val="10"/>
        <rFont val="Times New Roman"/>
        <family val="1"/>
      </rPr>
      <t xml:space="preserve">: </t>
    </r>
  </si>
  <si>
    <r>
      <t>Rail Face/Face</t>
    </r>
    <r>
      <rPr>
        <sz val="10"/>
        <rFont val="Times New Roman"/>
        <family val="1"/>
      </rPr>
      <t>:</t>
    </r>
  </si>
  <si>
    <r>
      <t>Phased Const</t>
    </r>
    <r>
      <rPr>
        <sz val="10"/>
        <rFont val="Times New Roman"/>
        <family val="1"/>
      </rPr>
      <t>:</t>
    </r>
  </si>
  <si>
    <r>
      <t>Approaches</t>
    </r>
    <r>
      <rPr>
        <sz val="10"/>
        <rFont val="Times New Roman"/>
        <family val="1"/>
      </rPr>
      <t>:</t>
    </r>
  </si>
  <si>
    <r>
      <t>Sidewalk</t>
    </r>
    <r>
      <rPr>
        <sz val="10"/>
        <rFont val="Times New Roman"/>
        <family val="1"/>
      </rPr>
      <t>:</t>
    </r>
  </si>
  <si>
    <t>Temporary widening of roadway to west (Detour Cost) req'd to accomodate phased construction.</t>
  </si>
  <si>
    <t>No Posting Req'd</t>
  </si>
  <si>
    <t>off</t>
  </si>
  <si>
    <t>on</t>
  </si>
  <si>
    <t>Bridge rehabilitaiton to consists of placing a shotcrete liner inside the culvert along the bottom and sides to approximately the spring line of the culvert.</t>
  </si>
  <si>
    <t>Year Rebuilt:</t>
  </si>
  <si>
    <t>Town Estimate Template v1_2.xls</t>
  </si>
  <si>
    <t>Town Estimate Template v1_3.xls</t>
  </si>
  <si>
    <t>Changed tab name from "Rate" to "Estimate"</t>
  </si>
  <si>
    <t>Added option for Preliminary Engineering calculation to use a % of Construction Cost or a Total Amount instead of just the Total Amount.</t>
  </si>
  <si>
    <r>
      <t xml:space="preserve">Under the Existing Bridge Site input section, for the year rebuilt input cell, changed the </t>
    </r>
    <r>
      <rPr>
        <u/>
        <sz val="10"/>
        <rFont val="Arial"/>
        <family val="2"/>
      </rPr>
      <t>input title</t>
    </r>
    <r>
      <rPr>
        <sz val="10"/>
        <rFont val="Arial"/>
        <family val="2"/>
      </rPr>
      <t xml:space="preserve"> to read "Year Rebuilt" instead of just "Rebuilt"</t>
    </r>
  </si>
  <si>
    <t>Message Box Notes:</t>
  </si>
  <si>
    <t>Changed the third user warning note that if both the Hydraulic_Data and Waterway inputs are blank than not show the third note and changed the title of listing to "Message Box Notes" from "Error Messages".</t>
  </si>
  <si>
    <r>
      <t>Q</t>
    </r>
    <r>
      <rPr>
        <vertAlign val="subscript"/>
        <sz val="11"/>
        <rFont val="Times New Roman"/>
        <family val="1"/>
      </rPr>
      <t>50</t>
    </r>
    <r>
      <rPr>
        <sz val="11"/>
        <rFont val="Times New Roman"/>
        <family val="1"/>
      </rPr>
      <t xml:space="preserve"> (cfs)</t>
    </r>
  </si>
  <si>
    <r>
      <t>Q</t>
    </r>
    <r>
      <rPr>
        <vertAlign val="subscript"/>
        <sz val="11"/>
        <rFont val="Times New Roman"/>
        <family val="1"/>
      </rPr>
      <t>100</t>
    </r>
    <r>
      <rPr>
        <sz val="11"/>
        <rFont val="Times New Roman"/>
        <family val="1"/>
      </rPr>
      <t xml:space="preserve"> (cfs)</t>
    </r>
  </si>
  <si>
    <t>Message Box:</t>
  </si>
  <si>
    <t>Town Estimate Template v1_4.xls</t>
  </si>
  <si>
    <t>not recorded</t>
  </si>
  <si>
    <t>Town Estimate Template v1_5.xls</t>
  </si>
  <si>
    <t>Changed several comments to provide additional clarification as to intent of input</t>
  </si>
  <si>
    <t>Changed several row heights to allow insertion of a row at ADT listing to allow for future ADT to be listed on separate line as it was not all fitting on one line.</t>
  </si>
  <si>
    <t>Changed formatting of ADT number to insert comma between thousands and hundreds digit as necessary &amp; add "Trks" notation after the % if part of input.</t>
  </si>
  <si>
    <r>
      <t>Bridge Width</t>
    </r>
    <r>
      <rPr>
        <sz val="10"/>
        <rFont val="Times New Roman"/>
        <family val="1"/>
      </rPr>
      <t>:</t>
    </r>
  </si>
  <si>
    <r>
      <t>Width Curb/Curb</t>
    </r>
    <r>
      <rPr>
        <sz val="10"/>
        <rFont val="Times New Roman"/>
        <family val="1"/>
      </rPr>
      <t>:</t>
    </r>
  </si>
  <si>
    <t>changed formula for curb/curb dimension to subract from rail/rail dimension 0.5' + sidewalk width for sidewalk on one side.  It was only subtracting the sidewalk width which didn't account for curb offset from FOR 0.5' on the none sidewalk side.</t>
  </si>
  <si>
    <t>Percent:</t>
  </si>
  <si>
    <t>/ lf</t>
  </si>
  <si>
    <t xml:space="preserve">Contingencies = </t>
  </si>
  <si>
    <t xml:space="preserve">Preliminary Engineering = </t>
  </si>
  <si>
    <t xml:space="preserve">Environmental &amp; Cultural Reviews/Permitting = </t>
  </si>
  <si>
    <t xml:space="preserve">Construction Engineering % = </t>
  </si>
  <si>
    <t xml:space="preserve">ROW Costs = </t>
  </si>
  <si>
    <t>Town Estimate Template v1_6.xls</t>
  </si>
  <si>
    <t>cosmetic changes to input part of spreadsheet to include adding several columns with reduced column width for better layout of input cells, swapping location of % input cells and total cost input cells for the "Replacement or Rehabilitation" input section and moving comments, and added additional unrounded values for view by engineer.</t>
  </si>
  <si>
    <t>Appr 1</t>
  </si>
  <si>
    <t>Appr 2</t>
  </si>
  <si>
    <t>Not Included</t>
  </si>
  <si>
    <t>Added option of "Not Included" for approach roadway work which will make the approach cost $0.</t>
  </si>
  <si>
    <t>User Note:</t>
  </si>
  <si>
    <t>Span shown is based on Hydraulic need which is greater than 1.2(bankfull width) + 2'.</t>
  </si>
  <si>
    <t>Town Estimate Template v1_7.xls</t>
  </si>
  <si>
    <t>Added input for Redlist Priority number and option to change from default "Municipal Redlist" to "State Redlist".  Requested by MWR</t>
  </si>
  <si>
    <t>Added logic to round up the PE value (either input or calculated) to the nearest $10,000.  Requested by MWR</t>
  </si>
  <si>
    <t xml:space="preserve">Added a override "user note" input cell to override the default waterway hydraulic note which states hydraulic study has not yet been done. </t>
  </si>
  <si>
    <t>removed shadow on several graphic arrows</t>
  </si>
  <si>
    <t>Added Estimate Pg 2 tab to accomodiate estimates which include both rehab and replace options</t>
  </si>
  <si>
    <t>Priority # (year):</t>
  </si>
  <si>
    <t>State/Muni Redlist?</t>
  </si>
  <si>
    <t>Municipal</t>
  </si>
  <si>
    <t>State</t>
  </si>
  <si>
    <t>Short Detour</t>
  </si>
  <si>
    <t>Br Closed for Constr</t>
  </si>
  <si>
    <t>Estimate 1:</t>
  </si>
  <si>
    <t>Estimate 2:</t>
  </si>
  <si>
    <t>Pg 2</t>
  </si>
  <si>
    <t>Detour</t>
  </si>
  <si>
    <t>Proximity to Diversion</t>
  </si>
  <si>
    <t xml:space="preserve">  Comment:</t>
  </si>
  <si>
    <t>Added option to add a small notation to the "Phased Construction" and "Temb Bridge Required" notations.  Any non-blank notation entered into the "notation" input cell will be noted in "( )" after the "Yes" or "No" notation for both inputs.  Requested by MWR</t>
  </si>
  <si>
    <t>Not Redlisted</t>
  </si>
  <si>
    <t>Swapped the input locations of "Phased Construction" and "Sidewalk" items to match presentation on output sheet</t>
  </si>
  <si>
    <t>Swapped the input locations of "Approach Roadway" items to match presentation on output sheet</t>
  </si>
  <si>
    <t>The estimate below is based on the following data:</t>
  </si>
  <si>
    <t>Approach work requires limited work @ intersections of Bog Rd and Melody Lane &amp; Bog Rd and Colby Rd.</t>
  </si>
  <si>
    <t>Rehabilitation cost includes: Superstructure Repairs, Bearing Rehab, Concrete Repairs (deck &amp; substructure), slope stabilization, deck membrane, deck pavement, expan. Jt. replacement and superstructure painting.</t>
  </si>
  <si>
    <t>Town Estimate Template v1_8.xls</t>
  </si>
  <si>
    <t>Changed the notation for Bridge Cost from "(Includes mobilization)" to "(Includes mobilization. See Notes for item list.)" to allow the user to list the items considered in the rehabilitation cost estimate.</t>
  </si>
  <si>
    <t>Change the file type from .xls to .xlsx to allow validation (pull down) lists on pg 2 to refer to lists on pg 1</t>
  </si>
  <si>
    <t>Added the following for the comments for Contingencies, PE and CE:  "Note:  If Ttl Cost used, leave % input cell blank and vice versa."</t>
  </si>
  <si>
    <t>Town Estimate Template v1_9.xls</t>
  </si>
  <si>
    <t>Added "Bridge Closed" as an option for the Posting input cell for the existing bridge.</t>
  </si>
  <si>
    <t>Added logic to round all Existing Bridge dimensions to the nearest full inch.</t>
  </si>
  <si>
    <t>Initials of Preparer:</t>
  </si>
  <si>
    <t>Town Estimate Template v2_0.xls</t>
  </si>
  <si>
    <t>Added to the Historic input cell comment that the PONTIS program uses a 40 year threshold to give municipalities a heads up that the age of the bridge is getting close to the 50 year threshold, anticipating 10 years to get the bridge built once the project is initiated (per Dave Powelson).</t>
  </si>
  <si>
    <t>Added input for the Preparer's Initials which is printed at the bottom of page 1 (if no page 2 ) or the bottom of page 2.</t>
  </si>
  <si>
    <t>Added logic to indicate that the age of the bridge has surpassed the threshold of "(&gt; 40 yrs)" or "&lt; 40 yrs)" in the historic characterization.</t>
  </si>
  <si>
    <t xml:space="preserve">Changed the logic for indicating whether or not the bridge has crossed the 40 year threshold for historic characterization to the actual threshold of 50 years and changed the notations to indicate "(Age = xx yrs, ABC 50 yr Threshold)" instead of "(&gt; 40 yrs)".  The ABC value indicates "&lt;" if age is &lt; 40, indicates "Nearing" if age &gt;= 40 but &lt; 50, and indicates "Exceeds" if &gt; 50. </t>
  </si>
  <si>
    <t>Tons/Comment:</t>
  </si>
  <si>
    <t xml:space="preserve">Changed the positioning of the FSR and Posting data to allow multi line, wrapped text output for the posting and allowd a comment to be added to the posting in lieu of a tonage value. </t>
  </si>
  <si>
    <t>Added line below the notes box to delineate between the box and the preparer and footer info.</t>
  </si>
  <si>
    <t>Moved the utilities note location on output report to allow for larger length note.</t>
  </si>
  <si>
    <t>Pg 1 &amp; Pg 2:  Change logic for the Rehabilitation option so that the proposed bridge values of "n/a" can be overridden by input values when non-blank i.e. when a widening of the deck is part of a proposed rehab.</t>
  </si>
  <si>
    <t>Town Estimate Template v2_1.xls</t>
  </si>
  <si>
    <t>Bridge Closed</t>
  </si>
  <si>
    <r>
      <t xml:space="preserve">Pg 1:  Swapped the position of the FSR and Posting </t>
    </r>
    <r>
      <rPr>
        <u/>
        <sz val="10"/>
        <rFont val="Arial"/>
        <family val="2"/>
      </rPr>
      <t>input cells</t>
    </r>
    <r>
      <rPr>
        <sz val="10"/>
        <rFont val="Arial"/>
        <family val="2"/>
      </rPr>
      <t xml:space="preserve"> to match the change in positioning of the cells on the output sheet that was done in version 2.0.</t>
    </r>
  </si>
  <si>
    <t>Pg 1:  Existing Bridge Data:  Changed formulation for present &amp; future ADT values  to indicate "unknown" &amp; "" respectively when the "Built" year input value is "unknown"</t>
  </si>
  <si>
    <t>Pg 1:  Existing Bridge Data:  Added the option to choose "n/a" for Posting input value for when a current non-bridge structures are being evaluated for replacement with a bridge structure.</t>
  </si>
  <si>
    <t>Build Offline</t>
  </si>
  <si>
    <t>Pg 1 &amp; Pg 2:  Added a "Build Offline" option to the pull down menu for the Temp Bridge comments input listing</t>
  </si>
  <si>
    <t>Alternative Comment:</t>
  </si>
  <si>
    <t>Town Estimate Template v2_2.xls</t>
  </si>
  <si>
    <t>Pg 1:  Added a user comment to override the 'State/Muni Redlist?' input values and allow the user to display a different message then the redlist status.  Done at the request of MWR.</t>
  </si>
  <si>
    <t>Pg 1 &amp; Pg 2:  Added comments to the Envinronmental/cultrual review/permitting and ROW costs to list current baseline values</t>
  </si>
  <si>
    <t>Town Estimate Template v2_3.xls</t>
  </si>
  <si>
    <t xml:space="preserve">Pg 1:  Added the option to choose Rehab for a second proposed bridge type as well as the first.  If done, the first will be called "Rehab. Of Exist. Br. (1)" and the second "Rehab. Of Exist. Br. (2)". </t>
  </si>
  <si>
    <t>Pg 1:  Added the warning note to the user if "Rehab. Of Exist. Br. (2) is choosen for the 1st page or if the same proposed span type is choosen for both Estiamte 1 and Estimate 2.</t>
  </si>
  <si>
    <t xml:space="preserve">Pg 2:  Added logic to title as a second rehab if that is what is choosen for the 2nd estimate on the page 1 input sheet. </t>
  </si>
  <si>
    <t>x</t>
  </si>
  <si>
    <t>Town Estimate Template v2_4.xls</t>
  </si>
  <si>
    <t>Pg 1 &amp; 2:  changed the note format from a pull down list to a list where the notes are turned on or off by placing an 'x' in front of the note.  In this way, even uneditable notes 1-3 can be turned on or off on the form.</t>
  </si>
  <si>
    <t>Pg 1:  Changed the formulation for Present and Future ADT which was erroneousely showing the value as "1,0" instead of "1,000" when the input was &gt;= 1000 and an even thousand value (i.e. 1000, 3000 or 12000).  New formulation as Text (value,"#,###") corrects this.</t>
  </si>
  <si>
    <t>Pg 1 &amp; 2:  changed all the foot/inch dimension calculations to incorporate the "#,##0" format replacing the "0" format.</t>
  </si>
  <si>
    <t>Town Estimate Template v2_5.xls</t>
  </si>
  <si>
    <t>rounding =</t>
  </si>
  <si>
    <t>Pg 1 &amp; 2:  changed all the foot/inch dimension calculations to round inch portion of dimension to desired accuracy instead of at the ceiling and floor calculation and removing ceiling and floor calculations.  There was an issue when the ceiling value controlled but resulted in a rounded value to the next higher inch and the result showed only the truncated inches which was now one inch too low.</t>
  </si>
  <si>
    <t>Old:</t>
  </si>
  <si>
    <t>New:</t>
  </si>
  <si>
    <t xml:space="preserve">input value to compare old and new version     </t>
  </si>
  <si>
    <t>Pg 1 &amp; 2:  changed the age calculation to allow for bridges older than 1900.</t>
  </si>
  <si>
    <t>Rehabilitation work includes:  replacement of joint seals, deck patching, curb patching, abutment and pier patching and spot painting.  This work should be done in conjuntion with Br. Nos. 106/072 and 107/071.  Traffic control and painting costs are proportioned over the three bridges.</t>
  </si>
  <si>
    <t>Pg 1:  Updated the existing hydraulic data section to allow presentation of info even when rehabilitation is choosen as the proposed bridge type instead of forcing "n/a".</t>
  </si>
  <si>
    <t>Town Estimate Template v2_6.xls</t>
  </si>
  <si>
    <t>Pg 2:  Fixed the comment list for the Temp Bridge input to reference back to Estimate Pg 1.</t>
  </si>
  <si>
    <t>Rehabilitation work includes:  Fixing delaminations and spalls in abutments, grouting voids under abutments, installing bridge approach rail, replacing bearings, fixing erosion behind SW wingwall, addressing pavement settling at NW wingwall, and cleaning and painting structural steel and rail attachements.</t>
  </si>
  <si>
    <t>Town Estimate Template v2_7.xls</t>
  </si>
  <si>
    <t>Pg 1:  Changed the formulation on Pg 1 to allow the user to use a lump sum estimate for a replacement option whereas before, the lump sum was only allowed if the user designated the rehab option.  This was done because long (transverse to roadway) buried structure with short span (longitudinal direction) don't fit the slope intercept model well and using alternative methods of cost estimateing may be employed.  Cells in the "Summary of Cost Estimate" section that were looking to see if cell E27="Rehab. of Exist. Br." will now use the lump sum value if it is a number.  The following "Estimate Pg 1" cells look for a number in cell X39: E36-37, H36, K35-K37, L37, and M37.  The following cells look for a number in cell X41: C38, K38, L38, and N38.  The following "Estimate Pg 2" cells look for a number in cell X25: E22-23, H22, K21-K23, L23, and M23.  The following cells look for a number in cell X27: C24, K24, L24, and N24.</t>
  </si>
  <si>
    <t>Replacement cost includes: access for bridge construction, removal of existing bridge structure, 3 sided Conspan w/ footing and wingwalls, excavation and backfill quantity, cofferdams, water diversion, pavement, beam guardrail with terminal units, and Class B Stone.</t>
  </si>
  <si>
    <t>Town Estimate Template v2_8.xls</t>
  </si>
  <si>
    <t>Pg 1 &amp; 2:  Changed several comments to make clearer and/or fix spelling mistakes.</t>
  </si>
  <si>
    <t>Version:</t>
  </si>
  <si>
    <t>Pg 1 &amp; 2:  Added input cell to track version number and added it to the foot note so it no longer has to be part of the file name.</t>
  </si>
  <si>
    <t>Insufficient Site Space</t>
  </si>
  <si>
    <t>Temp. bridge may not be feasible at this site due to geometric roadway constraints and/or DES permitting requirements.</t>
  </si>
  <si>
    <t xml:space="preserve">Construction Engineering = </t>
  </si>
  <si>
    <t>Drainage Area:</t>
  </si>
  <si>
    <r>
      <t>mi</t>
    </r>
    <r>
      <rPr>
        <vertAlign val="superscript"/>
        <sz val="11"/>
        <rFont val="Times New Roman"/>
        <family val="1"/>
      </rPr>
      <t>2</t>
    </r>
    <r>
      <rPr>
        <sz val="11"/>
        <rFont val="Times New Roman"/>
        <family val="1"/>
      </rPr>
      <t xml:space="preserve"> (From Stream Stats)</t>
    </r>
  </si>
  <si>
    <t>1.2*BFW + 2 =</t>
  </si>
  <si>
    <t>Pg 1 &amp; 2:  Added input for Drainage Area and calculation of Bank Full Width and 1.2*BFW + 2 to calculate estimate span length for replacement construction.  Pg 2 only displays the 1.2BFW+2 value.</t>
  </si>
  <si>
    <t>ft (See Pg 1 for calc)</t>
  </si>
  <si>
    <t>Rail to Rail:</t>
  </si>
  <si>
    <t>Est. Bank Full Width:</t>
  </si>
  <si>
    <t>Use Bank Full Width =</t>
  </si>
  <si>
    <t>A 1.25 factor for Phased Construction was incorporated into the Bridge Cost Estimate.</t>
  </si>
  <si>
    <t>Rearranged notes and changed two notes to become uneditable notes so there are now 5 total.  Two additionl uneditable notes referenced the BFW value specified to be used.</t>
  </si>
  <si>
    <t>ft      If BFW used &lt; BFW estimated, provided supporting comment below (internal use only):</t>
  </si>
  <si>
    <t>CIP Concrete Rigid Frame</t>
  </si>
  <si>
    <t>Precast Voided Deck Slab</t>
  </si>
  <si>
    <t>Precast 3-sided Frame</t>
  </si>
  <si>
    <t>Precast Box Beams</t>
  </si>
  <si>
    <t>Bulb-Tee Girder</t>
  </si>
  <si>
    <t>Steel Girder</t>
  </si>
  <si>
    <t>Timber Beam</t>
  </si>
  <si>
    <t>Longitudinal Timber Deck</t>
  </si>
  <si>
    <t>CIP Concrete Box Culvert</t>
  </si>
  <si>
    <t>CIP Concrete Slab</t>
  </si>
  <si>
    <t>Rehabilitate Existing Bridge</t>
  </si>
  <si>
    <t>Structural Plate Arch</t>
  </si>
  <si>
    <t>Precast Concrete Box Culvert</t>
  </si>
  <si>
    <t>Rehabilitate Existing Bridge (2)</t>
  </si>
  <si>
    <t>Removed abbreviations from proposed Bridge type.</t>
  </si>
  <si>
    <t>Added input for user to give reason why BFW used &lt; BFW estimated for when BFW calculated by regression equation seems too big.  This note does not show up on report to town.</t>
  </si>
  <si>
    <t>Prestressed Concrete Deck Slab</t>
  </si>
  <si>
    <t>Town Estimate Template v2_9.xls</t>
  </si>
  <si>
    <t>Pg. 1 &amp; 2:  Changed formulation that had referenced "Rehab. Of Exist. Br." to "Rehabilitate Existing Bridge" which had not been done when all abbreviations were removed from proposed Bridge Type pull down menu as noted in v2_8 version changes above.</t>
  </si>
  <si>
    <t xml:space="preserve">Pg 2:  Moved the Redlist info box from the right of the subject line to below the subject line.  This added several lines to the title rows printed at the top of page 2. </t>
  </si>
  <si>
    <r>
      <t xml:space="preserve">Pg 2:  changed all logic statements that referenced </t>
    </r>
    <r>
      <rPr>
        <u/>
        <sz val="10"/>
        <rFont val="Arial"/>
        <family val="2"/>
      </rPr>
      <t>E11="Rehab. Of Exist. Br."</t>
    </r>
    <r>
      <rPr>
        <sz val="10"/>
        <rFont val="Arial"/>
        <family val="2"/>
      </rPr>
      <t xml:space="preserve"> to indicate </t>
    </r>
    <r>
      <rPr>
        <u/>
        <sz val="10"/>
        <rFont val="Arial"/>
        <family val="2"/>
      </rPr>
      <t>OR(E13="Rehab. Of Exist. Br.",E13="Rehab. Of Exist. Br. (2)"</t>
    </r>
    <r>
      <rPr>
        <sz val="10"/>
        <rFont val="Arial"/>
        <family val="2"/>
      </rPr>
      <t>.  Note: rows numbers changed because of addition of rows to the title bar on page 2 (see 2 notes above).</t>
    </r>
  </si>
  <si>
    <t>Rehabilitation cost includes deck, expansion joint, fixed bearing and guardrail replacement, pavement and membrane, and painting 10' of each end, each girder, and fully painting upstream fascia girder.  For full painting of superstructure, add additional $100,000.  Access to underside of bridge to fully assess superstructure not available at time of estimate.</t>
  </si>
  <si>
    <t>Wgt Lmt</t>
  </si>
  <si>
    <t>Rdwy</t>
  </si>
  <si>
    <t>Stream</t>
  </si>
  <si>
    <t>)</t>
  </si>
  <si>
    <t>ft         (Normal to</t>
  </si>
  <si>
    <t>RxR</t>
  </si>
  <si>
    <t>Pg. 1 &amp; 2:  Added an input associated with the estimated span for the proposed structure that allowed the user to choose that the dimension given was normal to:  "Rdwy", "Stream", and "RxR".  Formally, this was hardwared to allow only Rdwy and Stream.</t>
  </si>
  <si>
    <t>Pg. 1 &amp; 2:  Changed the question of "Waterway?" from a user input to a hardwired calculation based on the user input of new input for estimated span being defined as over a stream, roadway or RR.</t>
  </si>
  <si>
    <t>Pg. 1 &amp; 2:  Changed formulation of the slope intercept cost calculation to indicate 3*slope intercept height if user indicates the estimated span is normal to a "Stream" and 4* slope intercept height if user indicates the estimated span is normal to anything other than "Stream".  It was formally using a hardwired value of only 3.</t>
  </si>
  <si>
    <t>Pg. 1 &amp; 2: Adjusted several comments to clarify changes noted above.</t>
  </si>
  <si>
    <t>Proposed Bridge cost includes: substructure, superstructure, fill and asphalt items</t>
  </si>
  <si>
    <t xml:space="preserve">Nominal ROW cost included as existing ROW is unknown.  </t>
  </si>
  <si>
    <t>Total Cost:</t>
  </si>
  <si>
    <t>(including Mobilization)</t>
  </si>
  <si>
    <t xml:space="preserve">or </t>
  </si>
  <si>
    <t xml:space="preserve">ft         (Normal to </t>
  </si>
  <si>
    <t>Pg. 1 &amp; 2: Added notation that if total values used for bridge and approach cost, they should include mobilization and adjusted notations on print out to indicate or not indicate "includes mobilization" and to exclude inclusion of the bridge mobilization normally included in the approach cost if the total value is other than blank for the bridge cost.</t>
  </si>
  <si>
    <t>Peter E. Stamnas, P.E.</t>
  </si>
  <si>
    <t>Town Estimate Template v3_0.xls</t>
  </si>
  <si>
    <t>Pg. 1 &amp; 2: Changed Bureau Administer name and initials for Pete Stamnas (PES).</t>
  </si>
  <si>
    <t>Stream Stats</t>
  </si>
  <si>
    <t>This estimate is based on current estimated prices.  The Town should allow for cost increase due to inflation.</t>
  </si>
  <si>
    <t>Cofferdam and Bridge Removal Cost</t>
  </si>
  <si>
    <t>Pg. 1 &amp; 2: added a line to the estimate to separate the bridge cost from the cofferdam and bridge removal costs.  Adjuted the approach cost to capture the mobilization costs associated with the bridge, cofferdam and bridge removal which are now on two seperate lines.</t>
  </si>
  <si>
    <t>WPS</t>
  </si>
  <si>
    <t>Temp. bridge not feasible @ this site due to stream/roadway &amp; structure constraints.  Detour established via Br 083/098, Bridge Rd, through private property used during previous rehabilitation will be required again. These $'s are not included.</t>
  </si>
  <si>
    <t xml:space="preserve">Est. Hydraulic Span: </t>
  </si>
  <si>
    <t>Slope Intercept Cost for Defined Hydraulic Span:</t>
  </si>
  <si>
    <t>Reduction from Stream Crossing Span:</t>
  </si>
  <si>
    <t>Pg. 1: added input for estimated hydraulic span and formulation to calculate slope intercept cost based on that span and the difference between the stream crossing estimate</t>
  </si>
  <si>
    <t>Town Estimate Template v3_1.xls</t>
  </si>
  <si>
    <t>Pg. 1: Added pull down list to guide user to use $200 or $250 per s.f. for generating structure cost.</t>
  </si>
  <si>
    <t>v3.1</t>
  </si>
  <si>
    <t>Northwood</t>
  </si>
  <si>
    <t>Concrete Slab</t>
  </si>
  <si>
    <t>Added the Span Chart tab and copied in the Simple Span Bridge Selection Guide from the Bridge Design Manual for reference</t>
  </si>
  <si>
    <t>(for use with Hydraulic Span reduction)</t>
  </si>
  <si>
    <t>Pg. 1:  Added ability to choose different $/s.f. cost for hydraulic span cost estimate vs. $/s.f. value used for stream crossing rules span</t>
  </si>
  <si>
    <t xml:space="preserve">The required waterway opening for the bridge is assumed.  A Hydraulic Study has not been completed. </t>
  </si>
  <si>
    <t>095/113</t>
  </si>
  <si>
    <t>Bow Lake Rd over Shelburne Brk</t>
  </si>
  <si>
    <t>Aerial utilites pass parallel to bridge along E. Fascia</t>
  </si>
  <si>
    <t>Approach work length projected 625' to west of 6' ± diameter CMP overflow structure which is ≈ 275' west of bridge for adjustments in vertical alignment.  Estimate doesn't include for significant work on overflow structure.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</si>
</sst>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quot;$&quot;* #,##0_);_(&quot;$&quot;* \(#,##0\);_(&quot;$&quot;* &quot;-&quot;_);_(@_)"/>
    <numFmt numFmtId="44" formatCode="_(&quot;$&quot;* #,##0.00_);_(&quot;$&quot;* \(#,##0.00\);_(&quot;$&quot;* &quot;-&quot;??_);_(@_)"/>
    <numFmt numFmtId="43" formatCode="_(* #,##0.00_);_(* \(#,##0.00\);_(* &quot;-&quot;??_);_(@_)"/>
    <numFmt numFmtId="164" formatCode="0.0"/>
    <numFmt numFmtId="165" formatCode="0.00000"/>
    <numFmt numFmtId="166" formatCode="0.00_)"/>
    <numFmt numFmtId="167" formatCode="mm/dd/yy_)"/>
    <numFmt numFmtId="168" formatCode="0.0%"/>
    <numFmt numFmtId="169" formatCode="[$-409]mmmm\ d\,\ yyyy;@"/>
    <numFmt numFmtId="170" formatCode="_(&quot;$&quot;* #,##0_);_(&quot;$&quot;* \(#,##0\);_(&quot;$&quot;* &quot;-&quot;??_);_(@_)"/>
    <numFmt numFmtId="171" formatCode="#,##0.00000_);\(#,##0.00000\)"/>
    <numFmt numFmtId="172" formatCode="0.000"/>
  </numFmts>
  <fonts count="39" x14ac:knownFonts="1">
    <font>
      <sz val="10"/>
      <name val="Arial"/>
    </font>
    <font>
      <sz val="10"/>
      <name val="Arial"/>
      <family val="2"/>
    </font>
    <font>
      <b/>
      <u/>
      <sz val="10"/>
      <name val="Arial"/>
      <family val="2"/>
    </font>
    <font>
      <sz val="10"/>
      <color indexed="81"/>
      <name val="Tahoma"/>
      <family val="2"/>
    </font>
    <font>
      <b/>
      <sz val="10"/>
      <name val="Times New Roman"/>
      <family val="1"/>
    </font>
    <font>
      <b/>
      <sz val="18"/>
      <name val="Times New Roman"/>
      <family val="1"/>
    </font>
    <font>
      <b/>
      <sz val="11"/>
      <name val="Times New Roman"/>
      <family val="1"/>
    </font>
    <font>
      <sz val="11"/>
      <name val="Times New Roman"/>
      <family val="1"/>
    </font>
    <font>
      <b/>
      <u/>
      <sz val="11"/>
      <name val="Times New Roman"/>
      <family val="1"/>
    </font>
    <font>
      <u/>
      <sz val="10"/>
      <color indexed="81"/>
      <name val="Tahoma"/>
      <family val="2"/>
    </font>
    <font>
      <b/>
      <sz val="11"/>
      <color indexed="12"/>
      <name val="Times New Roman"/>
      <family val="1"/>
    </font>
    <font>
      <b/>
      <sz val="10"/>
      <color indexed="81"/>
      <name val="Tahoma"/>
      <family val="2"/>
    </font>
    <font>
      <sz val="10"/>
      <name val="Times New Roman"/>
      <family val="1"/>
    </font>
    <font>
      <vertAlign val="subscript"/>
      <sz val="11"/>
      <name val="Times New Roman"/>
      <family val="1"/>
    </font>
    <font>
      <b/>
      <sz val="11"/>
      <color indexed="10"/>
      <name val="Times New Roman"/>
      <family val="1"/>
    </font>
    <font>
      <sz val="10.5"/>
      <name val="Times New Roman"/>
      <family val="1"/>
    </font>
    <font>
      <b/>
      <sz val="10"/>
      <color indexed="12"/>
      <name val="Times New Roman"/>
      <family val="1"/>
    </font>
    <font>
      <u/>
      <sz val="10"/>
      <color indexed="12"/>
      <name val="Times New Roman"/>
      <family val="1"/>
    </font>
    <font>
      <sz val="11"/>
      <color indexed="8"/>
      <name val="Times New Roman"/>
      <family val="1"/>
    </font>
    <font>
      <u/>
      <sz val="11"/>
      <color indexed="8"/>
      <name val="Times New Roman"/>
      <family val="1"/>
    </font>
    <font>
      <b/>
      <u/>
      <sz val="11"/>
      <color indexed="8"/>
      <name val="Times New Roman"/>
      <family val="1"/>
    </font>
    <font>
      <sz val="11"/>
      <color indexed="13"/>
      <name val="Times New Roman"/>
      <family val="1"/>
    </font>
    <font>
      <b/>
      <u/>
      <sz val="10"/>
      <name val="Times New Roman"/>
      <family val="1"/>
    </font>
    <font>
      <u/>
      <sz val="10"/>
      <name val="Times New Roman"/>
      <family val="1"/>
    </font>
    <font>
      <vertAlign val="subscript"/>
      <sz val="10"/>
      <name val="Times New Roman"/>
      <family val="1"/>
    </font>
    <font>
      <sz val="10"/>
      <name val="Arial"/>
      <family val="2"/>
    </font>
    <font>
      <sz val="7"/>
      <name val="Times New Roman"/>
      <family val="1"/>
    </font>
    <font>
      <u/>
      <sz val="10"/>
      <name val="Arial"/>
      <family val="2"/>
    </font>
    <font>
      <sz val="4"/>
      <color indexed="81"/>
      <name val="Tahoma"/>
      <family val="2"/>
    </font>
    <font>
      <sz val="11"/>
      <color indexed="81"/>
      <name val="Tahoma"/>
      <family val="2"/>
    </font>
    <font>
      <b/>
      <sz val="11"/>
      <color indexed="81"/>
      <name val="Tahoma"/>
      <family val="2"/>
    </font>
    <font>
      <u/>
      <sz val="11"/>
      <color indexed="81"/>
      <name val="Tahoma"/>
      <family val="2"/>
    </font>
    <font>
      <sz val="9.5"/>
      <color indexed="81"/>
      <name val="Tahoma"/>
      <family val="2"/>
    </font>
    <font>
      <u/>
      <sz val="9.5"/>
      <color indexed="81"/>
      <name val="Tahoma"/>
      <family val="2"/>
    </font>
    <font>
      <b/>
      <sz val="9.5"/>
      <color indexed="81"/>
      <name val="Tahoma"/>
      <family val="2"/>
    </font>
    <font>
      <b/>
      <sz val="11"/>
      <color rgb="FF0000FF"/>
      <name val="Times New Roman"/>
      <family val="1"/>
    </font>
    <font>
      <b/>
      <sz val="10"/>
      <color rgb="FF0000FF"/>
      <name val="Times New Roman"/>
      <family val="1"/>
    </font>
    <font>
      <vertAlign val="superscript"/>
      <sz val="11"/>
      <name val="Times New Roman"/>
      <family val="1"/>
    </font>
    <font>
      <b/>
      <sz val="11"/>
      <color rgb="FFFF0000"/>
      <name val="Times New Roman"/>
      <family val="1"/>
    </font>
  </fonts>
  <fills count="10">
    <fill>
      <patternFill patternType="none"/>
    </fill>
    <fill>
      <patternFill patternType="gray125"/>
    </fill>
    <fill>
      <patternFill patternType="solid">
        <fgColor indexed="9"/>
      </patternFill>
    </fill>
    <fill>
      <patternFill patternType="solid">
        <fgColor indexed="24"/>
        <bgColor indexed="64"/>
      </patternFill>
    </fill>
    <fill>
      <patternFill patternType="solid">
        <fgColor indexed="22"/>
        <bgColor indexed="64"/>
      </patternFill>
    </fill>
    <fill>
      <patternFill patternType="solid">
        <fgColor indexed="8"/>
        <bgColor indexed="64"/>
      </patternFill>
    </fill>
    <fill>
      <patternFill patternType="solid">
        <fgColor indexed="24"/>
      </patternFill>
    </fill>
    <fill>
      <patternFill patternType="gray0625">
        <bgColor indexed="22"/>
      </patternFill>
    </fill>
    <fill>
      <patternFill patternType="solid">
        <fgColor rgb="FF9999FF"/>
        <bgColor indexed="64"/>
      </patternFill>
    </fill>
    <fill>
      <patternFill patternType="solid">
        <fgColor theme="0" tint="-0.14999847407452621"/>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13"/>
      </left>
      <right style="thin">
        <color indexed="16"/>
      </right>
      <top style="thin">
        <color indexed="13"/>
      </top>
      <bottom style="thin">
        <color indexed="16"/>
      </bottom>
      <diagonal/>
    </border>
    <border>
      <left style="thin">
        <color indexed="16"/>
      </left>
      <right style="thin">
        <color indexed="16"/>
      </right>
      <top style="thin">
        <color indexed="13"/>
      </top>
      <bottom style="thin">
        <color indexed="16"/>
      </bottom>
      <diagonal/>
    </border>
    <border>
      <left style="thin">
        <color indexed="16"/>
      </left>
      <right style="thin">
        <color indexed="13"/>
      </right>
      <top style="thin">
        <color indexed="13"/>
      </top>
      <bottom style="thin">
        <color indexed="16"/>
      </bottom>
      <diagonal/>
    </border>
    <border>
      <left style="thin">
        <color indexed="13"/>
      </left>
      <right style="thin">
        <color indexed="16"/>
      </right>
      <top style="thin">
        <color indexed="16"/>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thin">
        <color indexed="13"/>
      </right>
      <top style="thin">
        <color indexed="16"/>
      </top>
      <bottom style="thin">
        <color indexed="16"/>
      </bottom>
      <diagonal/>
    </border>
    <border>
      <left style="thin">
        <color indexed="13"/>
      </left>
      <right style="thin">
        <color indexed="16"/>
      </right>
      <top style="thin">
        <color indexed="16"/>
      </top>
      <bottom style="thin">
        <color indexed="13"/>
      </bottom>
      <diagonal/>
    </border>
    <border>
      <left style="thin">
        <color indexed="16"/>
      </left>
      <right style="thin">
        <color indexed="16"/>
      </right>
      <top style="thin">
        <color indexed="16"/>
      </top>
      <bottom style="thin">
        <color indexed="13"/>
      </bottom>
      <diagonal/>
    </border>
    <border>
      <left style="thin">
        <color indexed="16"/>
      </left>
      <right style="thin">
        <color indexed="13"/>
      </right>
      <top style="thin">
        <color indexed="16"/>
      </top>
      <bottom style="thin">
        <color indexed="1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16"/>
      </left>
      <right style="thin">
        <color indexed="13"/>
      </right>
      <top style="thin">
        <color indexed="13"/>
      </top>
      <bottom style="thin">
        <color indexed="13"/>
      </bottom>
      <diagonal/>
    </border>
    <border>
      <left/>
      <right style="thin">
        <color indexed="16"/>
      </right>
      <top style="thin">
        <color indexed="16"/>
      </top>
      <bottom style="thin">
        <color indexed="16"/>
      </bottom>
      <diagonal/>
    </border>
    <border>
      <left/>
      <right style="thin">
        <color indexed="16"/>
      </right>
      <top style="thin">
        <color indexed="16"/>
      </top>
      <bottom style="thin">
        <color indexed="1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39" fontId="1" fillId="2" borderId="0"/>
    <xf numFmtId="9" fontId="1" fillId="0" borderId="0" applyFont="0" applyFill="0" applyBorder="0" applyAlignment="0" applyProtection="0"/>
  </cellStyleXfs>
  <cellXfs count="264">
    <xf numFmtId="0" fontId="0" fillId="0" borderId="0" xfId="0"/>
    <xf numFmtId="0" fontId="0" fillId="0" borderId="0" xfId="0" applyBorder="1" applyAlignment="1">
      <alignment horizontal="center"/>
    </xf>
    <xf numFmtId="0" fontId="0" fillId="0" borderId="0" xfId="0" applyBorder="1"/>
    <xf numFmtId="0" fontId="0" fillId="0" borderId="0" xfId="0" applyBorder="1" applyAlignment="1">
      <alignment horizontal="center" vertical="center"/>
    </xf>
    <xf numFmtId="0" fontId="2" fillId="0" borderId="0" xfId="0" applyFont="1"/>
    <xf numFmtId="14" fontId="0" fillId="0" borderId="0" xfId="0" applyNumberFormat="1"/>
    <xf numFmtId="39" fontId="1" fillId="0" borderId="0" xfId="3" applyNumberFormat="1" applyFill="1"/>
    <xf numFmtId="0" fontId="8" fillId="3" borderId="0" xfId="0" applyFont="1" applyFill="1"/>
    <xf numFmtId="0" fontId="10" fillId="4" borderId="0" xfId="0" applyFont="1" applyFill="1" applyProtection="1">
      <protection locked="0"/>
    </xf>
    <xf numFmtId="0" fontId="12" fillId="0" borderId="0" xfId="0" applyFont="1"/>
    <xf numFmtId="0" fontId="14" fillId="3" borderId="0" xfId="0" applyFont="1" applyFill="1" applyAlignment="1">
      <alignment vertical="top" wrapText="1"/>
    </xf>
    <xf numFmtId="0" fontId="6" fillId="3" borderId="0" xfId="0" applyFont="1" applyFill="1" applyBorder="1" applyAlignment="1">
      <alignment horizontal="left" vertical="top"/>
    </xf>
    <xf numFmtId="0" fontId="6" fillId="3" borderId="0" xfId="0" applyFont="1" applyFill="1" applyBorder="1" applyAlignment="1">
      <alignment horizontal="left"/>
    </xf>
    <xf numFmtId="0" fontId="12" fillId="3" borderId="0" xfId="0" applyFont="1" applyFill="1"/>
    <xf numFmtId="0" fontId="12" fillId="5" borderId="0" xfId="0" applyFont="1" applyFill="1"/>
    <xf numFmtId="167" fontId="16" fillId="5" borderId="0" xfId="0" applyNumberFormat="1" applyFont="1" applyFill="1" applyBorder="1" applyAlignment="1" applyProtection="1">
      <alignment horizontal="center"/>
      <protection locked="0"/>
    </xf>
    <xf numFmtId="0" fontId="12" fillId="0" borderId="0" xfId="0" applyFont="1" applyAlignment="1" applyProtection="1">
      <alignment horizontal="left"/>
    </xf>
    <xf numFmtId="166" fontId="16" fillId="0" borderId="0" xfId="0" applyNumberFormat="1" applyFont="1" applyBorder="1" applyAlignment="1" applyProtection="1">
      <alignment horizontal="center"/>
      <protection locked="0"/>
    </xf>
    <xf numFmtId="0" fontId="17" fillId="0" borderId="0" xfId="0" applyFont="1" applyBorder="1" applyAlignment="1" applyProtection="1">
      <alignment horizontal="left"/>
    </xf>
    <xf numFmtId="0" fontId="17" fillId="0" borderId="0" xfId="0" applyFont="1" applyAlignment="1" applyProtection="1">
      <alignment horizontal="left"/>
    </xf>
    <xf numFmtId="0" fontId="16" fillId="0" borderId="0" xfId="0" applyFont="1" applyBorder="1" applyAlignment="1" applyProtection="1">
      <protection locked="0"/>
    </xf>
    <xf numFmtId="0" fontId="12" fillId="5" borderId="0" xfId="0" applyFont="1" applyFill="1" applyAlignment="1" applyProtection="1">
      <alignment horizontal="left"/>
    </xf>
    <xf numFmtId="166" fontId="16" fillId="5" borderId="0" xfId="0" applyNumberFormat="1" applyFont="1" applyFill="1" applyBorder="1" applyAlignment="1" applyProtection="1">
      <alignment horizontal="center"/>
      <protection locked="0"/>
    </xf>
    <xf numFmtId="0" fontId="17" fillId="5" borderId="0" xfId="0" applyFont="1" applyFill="1" applyBorder="1" applyAlignment="1" applyProtection="1">
      <alignment horizontal="left"/>
    </xf>
    <xf numFmtId="0" fontId="17" fillId="5" borderId="0" xfId="0" applyFont="1" applyFill="1" applyAlignment="1" applyProtection="1">
      <alignment horizontal="left"/>
    </xf>
    <xf numFmtId="0" fontId="16" fillId="5" borderId="0" xfId="0" applyFont="1" applyFill="1" applyAlignment="1" applyProtection="1">
      <alignment horizontal="center"/>
      <protection locked="0"/>
    </xf>
    <xf numFmtId="0" fontId="12" fillId="3" borderId="0" xfId="0" applyFont="1" applyFill="1" applyAlignment="1" applyProtection="1">
      <alignment horizontal="left"/>
    </xf>
    <xf numFmtId="166" fontId="16" fillId="3" borderId="0" xfId="0" applyNumberFormat="1" applyFont="1" applyFill="1" applyBorder="1" applyAlignment="1" applyProtection="1">
      <alignment horizontal="center"/>
      <protection locked="0"/>
    </xf>
    <xf numFmtId="0" fontId="17" fillId="3" borderId="0" xfId="0" applyFont="1" applyFill="1" applyBorder="1" applyAlignment="1" applyProtection="1">
      <alignment horizontal="left"/>
    </xf>
    <xf numFmtId="0" fontId="17" fillId="3" borderId="0" xfId="0" applyFont="1" applyFill="1" applyAlignment="1" applyProtection="1">
      <alignment horizontal="left"/>
    </xf>
    <xf numFmtId="0" fontId="16" fillId="3" borderId="0" xfId="0" applyFont="1" applyFill="1" applyAlignment="1" applyProtection="1">
      <alignment horizontal="center"/>
      <protection locked="0"/>
    </xf>
    <xf numFmtId="167" fontId="16" fillId="3" borderId="0" xfId="0" applyNumberFormat="1" applyFont="1" applyFill="1" applyBorder="1" applyAlignment="1" applyProtection="1">
      <alignment horizontal="center"/>
      <protection locked="0"/>
    </xf>
    <xf numFmtId="0" fontId="12" fillId="5" borderId="0" xfId="0" applyFont="1" applyFill="1" applyBorder="1"/>
    <xf numFmtId="167" fontId="7" fillId="3" borderId="0" xfId="0" applyNumberFormat="1" applyFont="1" applyFill="1" applyBorder="1" applyAlignment="1" applyProtection="1">
      <alignment horizontal="center"/>
      <protection locked="0"/>
    </xf>
    <xf numFmtId="39" fontId="18" fillId="3" borderId="0" xfId="3" applyNumberFormat="1" applyFont="1" applyFill="1"/>
    <xf numFmtId="37" fontId="19" fillId="3" borderId="0" xfId="3" quotePrefix="1" applyNumberFormat="1" applyFont="1" applyFill="1" applyAlignment="1">
      <alignment horizontal="center"/>
    </xf>
    <xf numFmtId="0" fontId="7" fillId="3" borderId="0" xfId="0" applyFont="1" applyFill="1"/>
    <xf numFmtId="39" fontId="18" fillId="3" borderId="0" xfId="3" applyNumberFormat="1" applyFont="1" applyFill="1" applyAlignment="1">
      <alignment horizontal="right"/>
    </xf>
    <xf numFmtId="37" fontId="18" fillId="3" borderId="0" xfId="3" applyNumberFormat="1" applyFont="1" applyFill="1" applyAlignment="1">
      <alignment horizontal="center"/>
    </xf>
    <xf numFmtId="14" fontId="10" fillId="4" borderId="0" xfId="0" applyNumberFormat="1" applyFont="1" applyFill="1" applyAlignment="1" applyProtection="1">
      <alignment horizontal="center"/>
      <protection locked="0"/>
    </xf>
    <xf numFmtId="0" fontId="7" fillId="3" borderId="0" xfId="0" applyFont="1" applyFill="1" applyBorder="1"/>
    <xf numFmtId="165" fontId="18" fillId="3" borderId="1" xfId="3" applyNumberFormat="1" applyFont="1" applyFill="1" applyBorder="1" applyAlignment="1">
      <alignment horizontal="center" vertical="center"/>
    </xf>
    <xf numFmtId="39" fontId="18" fillId="3" borderId="3" xfId="3" applyNumberFormat="1" applyFont="1" applyFill="1" applyBorder="1" applyAlignment="1">
      <alignment horizontal="center"/>
    </xf>
    <xf numFmtId="1" fontId="20" fillId="6" borderId="0" xfId="3" applyNumberFormat="1" applyFont="1" applyFill="1"/>
    <xf numFmtId="39" fontId="7" fillId="6" borderId="0" xfId="3" applyNumberFormat="1" applyFont="1" applyFill="1"/>
    <xf numFmtId="39" fontId="18" fillId="6" borderId="0" xfId="3" applyNumberFormat="1" applyFont="1" applyFill="1"/>
    <xf numFmtId="165" fontId="18" fillId="3" borderId="4" xfId="3" applyNumberFormat="1" applyFont="1" applyFill="1" applyBorder="1" applyAlignment="1">
      <alignment horizontal="center" vertical="center"/>
    </xf>
    <xf numFmtId="39" fontId="18" fillId="3" borderId="5" xfId="3" applyNumberFormat="1" applyFont="1" applyFill="1" applyBorder="1" applyAlignment="1">
      <alignment horizontal="center"/>
    </xf>
    <xf numFmtId="39" fontId="18" fillId="3" borderId="6" xfId="3" applyNumberFormat="1" applyFont="1" applyFill="1" applyBorder="1" applyAlignment="1">
      <alignment horizontal="center"/>
    </xf>
    <xf numFmtId="37" fontId="7" fillId="6" borderId="0" xfId="3" applyNumberFormat="1" applyFont="1" applyFill="1" applyAlignment="1">
      <alignment horizontal="center"/>
    </xf>
    <xf numFmtId="0" fontId="10" fillId="4" borderId="0" xfId="0" applyFont="1" applyFill="1" applyAlignment="1" applyProtection="1">
      <alignment horizontal="left"/>
      <protection locked="0"/>
    </xf>
    <xf numFmtId="1" fontId="21" fillId="6" borderId="7" xfId="3" applyNumberFormat="1" applyFont="1" applyFill="1" applyBorder="1" applyAlignment="1">
      <alignment horizontal="center" vertical="center"/>
    </xf>
    <xf numFmtId="1" fontId="21" fillId="6" borderId="8" xfId="3" applyNumberFormat="1" applyFont="1" applyFill="1" applyBorder="1" applyAlignment="1">
      <alignment horizontal="center" vertical="center"/>
    </xf>
    <xf numFmtId="1" fontId="21" fillId="6" borderId="9" xfId="3" applyNumberFormat="1" applyFont="1" applyFill="1" applyBorder="1" applyAlignment="1">
      <alignment horizontal="center" vertical="center"/>
    </xf>
    <xf numFmtId="49" fontId="10" fillId="4" borderId="0" xfId="0" applyNumberFormat="1" applyFont="1" applyFill="1" applyAlignment="1" applyProtection="1">
      <alignment horizontal="center"/>
      <protection locked="0"/>
    </xf>
    <xf numFmtId="1" fontId="21" fillId="6" borderId="10" xfId="3" applyNumberFormat="1" applyFont="1" applyFill="1" applyBorder="1" applyAlignment="1">
      <alignment horizontal="center" vertical="center"/>
    </xf>
    <xf numFmtId="165" fontId="21" fillId="6" borderId="11" xfId="3" applyNumberFormat="1" applyFont="1" applyFill="1" applyBorder="1" applyAlignment="1">
      <alignment horizontal="center" vertical="center"/>
    </xf>
    <xf numFmtId="165" fontId="21" fillId="6" borderId="12" xfId="3" applyNumberFormat="1" applyFont="1" applyFill="1" applyBorder="1" applyAlignment="1">
      <alignment horizontal="center" vertical="center"/>
    </xf>
    <xf numFmtId="0" fontId="10" fillId="4" borderId="0" xfId="0" applyFont="1" applyFill="1" applyAlignment="1" applyProtection="1">
      <alignment horizontal="center"/>
      <protection locked="0"/>
    </xf>
    <xf numFmtId="0" fontId="7" fillId="3" borderId="0" xfId="0" applyFont="1" applyFill="1" applyAlignment="1">
      <alignment horizontal="center"/>
    </xf>
    <xf numFmtId="0" fontId="7" fillId="3" borderId="0" xfId="0" applyFont="1" applyFill="1" applyAlignment="1">
      <alignment horizontal="right"/>
    </xf>
    <xf numFmtId="1" fontId="10" fillId="4" borderId="0" xfId="1" applyNumberFormat="1" applyFont="1" applyFill="1" applyAlignment="1" applyProtection="1">
      <alignment horizontal="center" vertical="center"/>
      <protection locked="0"/>
    </xf>
    <xf numFmtId="168" fontId="10" fillId="4" borderId="0" xfId="4" applyNumberFormat="1" applyFont="1" applyFill="1" applyAlignment="1" applyProtection="1">
      <alignment horizontal="center"/>
      <protection locked="0"/>
    </xf>
    <xf numFmtId="1" fontId="10" fillId="4" borderId="0" xfId="4" applyNumberFormat="1" applyFont="1" applyFill="1" applyAlignment="1" applyProtection="1">
      <alignment horizontal="center"/>
      <protection locked="0"/>
    </xf>
    <xf numFmtId="0" fontId="10" fillId="4" borderId="0" xfId="0" applyNumberFormat="1" applyFont="1" applyFill="1" applyAlignment="1" applyProtection="1">
      <alignment horizontal="center"/>
      <protection locked="0"/>
    </xf>
    <xf numFmtId="0" fontId="10" fillId="4" borderId="0" xfId="0" quotePrefix="1" applyFont="1" applyFill="1" applyAlignment="1" applyProtection="1">
      <alignment horizontal="left"/>
      <protection locked="0"/>
    </xf>
    <xf numFmtId="0" fontId="7" fillId="3" borderId="0" xfId="0" applyFont="1" applyFill="1" applyAlignment="1">
      <alignment horizontal="left"/>
    </xf>
    <xf numFmtId="0" fontId="7" fillId="3" borderId="0" xfId="0" quotePrefix="1" applyFont="1" applyFill="1"/>
    <xf numFmtId="1" fontId="21" fillId="6" borderId="13" xfId="3" applyNumberFormat="1" applyFont="1" applyFill="1" applyBorder="1" applyAlignment="1">
      <alignment horizontal="center" vertical="center"/>
    </xf>
    <xf numFmtId="165" fontId="21" fillId="6" borderId="14" xfId="3" applyNumberFormat="1" applyFont="1" applyFill="1" applyBorder="1" applyAlignment="1">
      <alignment horizontal="center" vertical="center"/>
    </xf>
    <xf numFmtId="1" fontId="21" fillId="6" borderId="15" xfId="3" applyNumberFormat="1" applyFont="1" applyFill="1" applyBorder="1" applyAlignment="1">
      <alignment horizontal="center" vertical="center"/>
    </xf>
    <xf numFmtId="0" fontId="7" fillId="3" borderId="16" xfId="0" applyFont="1" applyFill="1" applyBorder="1"/>
    <xf numFmtId="0" fontId="7" fillId="3" borderId="17" xfId="0" applyFont="1" applyFill="1" applyBorder="1" applyAlignment="1">
      <alignment horizontal="left"/>
    </xf>
    <xf numFmtId="0" fontId="7" fillId="3" borderId="17" xfId="0" applyFont="1" applyFill="1" applyBorder="1"/>
    <xf numFmtId="0" fontId="7" fillId="3" borderId="18" xfId="0" applyFont="1" applyFill="1" applyBorder="1"/>
    <xf numFmtId="0" fontId="7" fillId="3" borderId="19" xfId="0" applyFont="1" applyFill="1" applyBorder="1"/>
    <xf numFmtId="0" fontId="7" fillId="3" borderId="16" xfId="0" applyFont="1" applyFill="1" applyBorder="1" applyAlignment="1">
      <alignment horizontal="center"/>
    </xf>
    <xf numFmtId="0" fontId="7" fillId="3" borderId="20" xfId="0" applyFont="1" applyFill="1" applyBorder="1" applyAlignment="1">
      <alignment horizontal="center"/>
    </xf>
    <xf numFmtId="0" fontId="7" fillId="3" borderId="3" xfId="0" applyFont="1" applyFill="1" applyBorder="1"/>
    <xf numFmtId="0" fontId="7" fillId="3" borderId="6" xfId="0" applyFont="1" applyFill="1" applyBorder="1"/>
    <xf numFmtId="0" fontId="7" fillId="3" borderId="4" xfId="0" applyFont="1" applyFill="1" applyBorder="1" applyAlignment="1">
      <alignment horizontal="center"/>
    </xf>
    <xf numFmtId="1" fontId="21" fillId="6" borderId="21" xfId="3" applyNumberFormat="1" applyFont="1" applyFill="1" applyBorder="1" applyAlignment="1">
      <alignment horizontal="center" vertical="center"/>
    </xf>
    <xf numFmtId="39" fontId="7" fillId="3" borderId="0" xfId="3" applyNumberFormat="1" applyFont="1" applyFill="1"/>
    <xf numFmtId="0" fontId="7" fillId="3" borderId="0" xfId="0" applyFont="1" applyFill="1" applyAlignment="1">
      <alignment horizontal="left" indent="3"/>
    </xf>
    <xf numFmtId="170" fontId="10" fillId="4" borderId="0" xfId="2" applyNumberFormat="1" applyFont="1" applyFill="1" applyAlignment="1" applyProtection="1">
      <alignment horizontal="center"/>
      <protection locked="0"/>
    </xf>
    <xf numFmtId="0" fontId="10" fillId="7" borderId="0" xfId="0" applyFont="1" applyFill="1" applyAlignment="1" applyProtection="1">
      <alignment horizontal="center"/>
      <protection locked="0"/>
    </xf>
    <xf numFmtId="0" fontId="7" fillId="3" borderId="0" xfId="0" applyFont="1" applyFill="1" applyBorder="1" applyAlignment="1">
      <alignment horizontal="left" vertical="top"/>
    </xf>
    <xf numFmtId="167" fontId="7" fillId="3" borderId="0" xfId="0" applyNumberFormat="1" applyFont="1" applyFill="1" applyBorder="1" applyAlignment="1" applyProtection="1">
      <alignment horizontal="left" vertical="top"/>
      <protection locked="0"/>
    </xf>
    <xf numFmtId="1" fontId="21" fillId="6" borderId="22" xfId="3" applyNumberFormat="1" applyFont="1" applyFill="1" applyBorder="1" applyAlignment="1">
      <alignment horizontal="center" vertical="center"/>
    </xf>
    <xf numFmtId="1" fontId="21" fillId="6" borderId="23" xfId="3" applyNumberFormat="1" applyFont="1" applyFill="1" applyBorder="1" applyAlignment="1">
      <alignment horizontal="center" vertical="center"/>
    </xf>
    <xf numFmtId="0" fontId="7" fillId="3" borderId="1" xfId="0" applyNumberFormat="1" applyFont="1" applyFill="1" applyBorder="1" applyAlignment="1" applyProtection="1">
      <alignment horizontal="right" vertical="top"/>
      <protection locked="0"/>
    </xf>
    <xf numFmtId="0" fontId="7" fillId="3" borderId="2" xfId="0" applyFont="1" applyFill="1" applyBorder="1" applyAlignment="1">
      <alignment horizontal="left" vertical="top"/>
    </xf>
    <xf numFmtId="0" fontId="7" fillId="3" borderId="2" xfId="0" applyFont="1" applyFill="1" applyBorder="1"/>
    <xf numFmtId="0" fontId="7" fillId="3" borderId="20" xfId="0" applyNumberFormat="1" applyFont="1" applyFill="1" applyBorder="1" applyAlignment="1" applyProtection="1">
      <alignment horizontal="right" vertical="top"/>
      <protection locked="0"/>
    </xf>
    <xf numFmtId="0" fontId="7" fillId="3" borderId="20" xfId="0" applyFont="1" applyFill="1" applyBorder="1"/>
    <xf numFmtId="0" fontId="7" fillId="3" borderId="4" xfId="0" applyFont="1" applyFill="1" applyBorder="1"/>
    <xf numFmtId="0" fontId="7" fillId="3" borderId="5" xfId="0" applyFont="1" applyFill="1" applyBorder="1"/>
    <xf numFmtId="164" fontId="7" fillId="3" borderId="0" xfId="0" applyNumberFormat="1" applyFont="1" applyFill="1" applyAlignment="1">
      <alignment horizontal="center"/>
    </xf>
    <xf numFmtId="164" fontId="7" fillId="3" borderId="0" xfId="0" applyNumberFormat="1" applyFont="1" applyFill="1" applyAlignment="1">
      <alignment horizontal="left"/>
    </xf>
    <xf numFmtId="0" fontId="7" fillId="3" borderId="1" xfId="0" applyFont="1" applyFill="1" applyBorder="1"/>
    <xf numFmtId="0" fontId="7" fillId="3" borderId="20" xfId="0" applyFont="1" applyFill="1" applyBorder="1" applyAlignment="1">
      <alignment horizontal="left"/>
    </xf>
    <xf numFmtId="0" fontId="12" fillId="0" borderId="0" xfId="0" applyFont="1" applyAlignment="1">
      <alignment vertical="top"/>
    </xf>
    <xf numFmtId="0" fontId="4" fillId="0" borderId="0" xfId="0" applyFont="1"/>
    <xf numFmtId="0" fontId="12" fillId="0" borderId="0" xfId="0" applyFont="1" applyAlignment="1">
      <alignment horizontal="left"/>
    </xf>
    <xf numFmtId="0" fontId="4" fillId="0" borderId="0" xfId="0" applyFont="1" applyAlignment="1">
      <alignment vertical="top"/>
    </xf>
    <xf numFmtId="0" fontId="22" fillId="0" borderId="0" xfId="0" applyFont="1" applyAlignment="1">
      <alignment vertical="top"/>
    </xf>
    <xf numFmtId="0" fontId="23" fillId="0" borderId="0" xfId="0" applyFont="1" applyAlignment="1">
      <alignment horizontal="left" vertical="top"/>
    </xf>
    <xf numFmtId="0" fontId="12" fillId="0" borderId="0" xfId="0" applyFont="1" applyAlignment="1">
      <alignment horizontal="left" vertical="top"/>
    </xf>
    <xf numFmtId="0" fontId="23" fillId="0" borderId="0" xfId="0" applyFont="1" applyAlignment="1">
      <alignment vertical="top"/>
    </xf>
    <xf numFmtId="164" fontId="12" fillId="0" borderId="0" xfId="0" applyNumberFormat="1" applyFont="1" applyAlignment="1">
      <alignment vertical="top"/>
    </xf>
    <xf numFmtId="164" fontId="12" fillId="0" borderId="0" xfId="0" applyNumberFormat="1" applyFont="1" applyAlignment="1">
      <alignment horizontal="left" vertical="top"/>
    </xf>
    <xf numFmtId="168" fontId="12" fillId="0" borderId="0" xfId="4" applyNumberFormat="1" applyFont="1" applyAlignment="1">
      <alignment horizontal="left" vertical="top"/>
    </xf>
    <xf numFmtId="0" fontId="12" fillId="0" borderId="0" xfId="0" applyFont="1" applyFill="1" applyAlignment="1">
      <alignment horizontal="right" vertical="top"/>
    </xf>
    <xf numFmtId="0" fontId="12" fillId="0" borderId="0" xfId="0" applyFont="1" applyFill="1" applyAlignment="1">
      <alignment horizontal="left" vertical="top"/>
    </xf>
    <xf numFmtId="39" fontId="12" fillId="0" borderId="0" xfId="0" applyNumberFormat="1" applyFont="1" applyAlignment="1">
      <alignment horizontal="left" vertical="top"/>
    </xf>
    <xf numFmtId="0" fontId="12" fillId="0" borderId="0" xfId="0" applyFont="1" applyFill="1" applyAlignment="1">
      <alignment vertical="top"/>
    </xf>
    <xf numFmtId="0" fontId="25" fillId="0" borderId="0" xfId="0" applyFont="1" applyAlignment="1">
      <alignment vertical="top"/>
    </xf>
    <xf numFmtId="44" fontId="12" fillId="0" borderId="0" xfId="0" applyNumberFormat="1" applyFont="1" applyAlignment="1">
      <alignment horizontal="center" vertical="top"/>
    </xf>
    <xf numFmtId="0" fontId="12" fillId="0" borderId="0" xfId="0" applyFont="1" applyAlignment="1">
      <alignment horizontal="right" vertical="top"/>
    </xf>
    <xf numFmtId="0" fontId="4" fillId="0" borderId="0" xfId="0" applyFont="1" applyAlignment="1">
      <alignment horizontal="left" vertical="top"/>
    </xf>
    <xf numFmtId="0" fontId="25" fillId="0" borderId="0" xfId="0" applyFont="1" applyAlignment="1">
      <alignment horizontal="right" vertical="top"/>
    </xf>
    <xf numFmtId="0" fontId="23" fillId="0" borderId="0" xfId="0" applyFont="1" applyAlignment="1">
      <alignment horizontal="left" vertical="top" indent="1"/>
    </xf>
    <xf numFmtId="0" fontId="12" fillId="0" borderId="0" xfId="0" applyFont="1" applyAlignment="1">
      <alignment horizontal="left" vertical="top" indent="1"/>
    </xf>
    <xf numFmtId="170" fontId="26" fillId="0" borderId="0" xfId="2" applyNumberFormat="1" applyFont="1"/>
    <xf numFmtId="0" fontId="7" fillId="3" borderId="19" xfId="0" applyFont="1" applyFill="1" applyBorder="1" applyAlignment="1">
      <alignment horizontal="center"/>
    </xf>
    <xf numFmtId="165" fontId="18" fillId="3" borderId="0" xfId="3" applyNumberFormat="1" applyFont="1" applyFill="1" applyBorder="1" applyAlignment="1">
      <alignment horizontal="center" vertical="center"/>
    </xf>
    <xf numFmtId="39" fontId="18" fillId="3" borderId="0" xfId="3" applyNumberFormat="1" applyFont="1" applyFill="1" applyBorder="1" applyAlignment="1">
      <alignment horizontal="center"/>
    </xf>
    <xf numFmtId="0" fontId="7" fillId="3" borderId="0" xfId="0" applyFont="1" applyFill="1" applyAlignment="1">
      <alignment horizontal="right" indent="1"/>
    </xf>
    <xf numFmtId="0" fontId="7" fillId="3" borderId="0" xfId="0" applyFont="1" applyFill="1" applyAlignment="1">
      <alignment horizontal="right" indent="2"/>
    </xf>
    <xf numFmtId="0" fontId="26" fillId="0" borderId="0" xfId="0" applyFont="1" applyAlignment="1">
      <alignment horizontal="center" vertical="top"/>
    </xf>
    <xf numFmtId="0" fontId="7" fillId="3" borderId="6" xfId="0" applyFont="1" applyFill="1" applyBorder="1" applyAlignment="1">
      <alignment horizontal="left"/>
    </xf>
    <xf numFmtId="0" fontId="12" fillId="0" borderId="0" xfId="0" applyFont="1" applyAlignment="1">
      <alignment vertical="top" wrapText="1"/>
    </xf>
    <xf numFmtId="0" fontId="7" fillId="3" borderId="0" xfId="0" applyFont="1" applyFill="1" applyAlignment="1">
      <alignment horizontal="right" vertical="center"/>
    </xf>
    <xf numFmtId="0" fontId="7" fillId="3" borderId="0" xfId="0" applyFont="1" applyFill="1" applyAlignment="1">
      <alignment horizontal="center" vertical="center"/>
    </xf>
    <xf numFmtId="0" fontId="7" fillId="3" borderId="0" xfId="0" applyFont="1" applyFill="1" applyAlignment="1">
      <alignment horizontal="left" indent="2"/>
    </xf>
    <xf numFmtId="167" fontId="7" fillId="3" borderId="18" xfId="0" applyNumberFormat="1" applyFont="1" applyFill="1" applyBorder="1" applyAlignment="1" applyProtection="1">
      <alignment horizontal="left"/>
      <protection locked="0"/>
    </xf>
    <xf numFmtId="167" fontId="7" fillId="3" borderId="4" xfId="0" applyNumberFormat="1" applyFont="1" applyFill="1" applyBorder="1" applyAlignment="1" applyProtection="1">
      <alignment horizontal="left"/>
      <protection locked="0"/>
    </xf>
    <xf numFmtId="167" fontId="7" fillId="3" borderId="6" xfId="0" applyNumberFormat="1" applyFont="1" applyFill="1" applyBorder="1" applyAlignment="1" applyProtection="1">
      <alignment horizontal="left"/>
      <protection locked="0"/>
    </xf>
    <xf numFmtId="167" fontId="7" fillId="3" borderId="5" xfId="0" applyNumberFormat="1" applyFont="1" applyFill="1" applyBorder="1" applyAlignment="1" applyProtection="1">
      <alignment horizontal="left"/>
      <protection locked="0"/>
    </xf>
    <xf numFmtId="0" fontId="25" fillId="0" borderId="0" xfId="0" applyFont="1"/>
    <xf numFmtId="0" fontId="7" fillId="3" borderId="0" xfId="0" applyFont="1" applyFill="1" applyBorder="1" applyAlignment="1">
      <alignment horizontal="left"/>
    </xf>
    <xf numFmtId="0" fontId="7" fillId="3" borderId="0" xfId="0" applyFont="1" applyFill="1" applyBorder="1" applyAlignment="1">
      <alignment horizontal="center"/>
    </xf>
    <xf numFmtId="0" fontId="8" fillId="3" borderId="1" xfId="0" applyFont="1" applyFill="1" applyBorder="1"/>
    <xf numFmtId="0" fontId="7" fillId="3" borderId="2" xfId="0" applyFont="1" applyFill="1" applyBorder="1" applyAlignment="1">
      <alignment horizontal="center"/>
    </xf>
    <xf numFmtId="0" fontId="6" fillId="8" borderId="0" xfId="0" applyFont="1" applyFill="1" applyBorder="1" applyAlignment="1" applyProtection="1">
      <alignment horizontal="center"/>
      <protection locked="0"/>
    </xf>
    <xf numFmtId="0" fontId="10" fillId="8" borderId="0" xfId="0" applyFont="1" applyFill="1" applyBorder="1" applyAlignment="1" applyProtection="1">
      <alignment horizontal="center"/>
      <protection locked="0"/>
    </xf>
    <xf numFmtId="0" fontId="7" fillId="8" borderId="0" xfId="0" applyFont="1" applyFill="1" applyBorder="1"/>
    <xf numFmtId="0" fontId="6" fillId="8" borderId="0" xfId="0" applyFont="1" applyFill="1" applyBorder="1" applyAlignment="1" applyProtection="1">
      <alignment horizontal="left"/>
      <protection locked="0"/>
    </xf>
    <xf numFmtId="0" fontId="7" fillId="8" borderId="0" xfId="0" applyFont="1" applyFill="1" applyBorder="1" applyAlignment="1">
      <alignment horizontal="center"/>
    </xf>
    <xf numFmtId="1" fontId="6" fillId="8" borderId="0" xfId="1" applyNumberFormat="1" applyFont="1" applyFill="1" applyBorder="1" applyAlignment="1" applyProtection="1">
      <alignment horizontal="center" vertical="center"/>
      <protection locked="0"/>
    </xf>
    <xf numFmtId="168" fontId="6" fillId="8" borderId="0" xfId="4" applyNumberFormat="1" applyFont="1" applyFill="1" applyBorder="1" applyAlignment="1" applyProtection="1">
      <alignment horizontal="center"/>
      <protection locked="0"/>
    </xf>
    <xf numFmtId="1" fontId="6" fillId="8" borderId="0" xfId="4" applyNumberFormat="1" applyFont="1" applyFill="1" applyBorder="1" applyAlignment="1" applyProtection="1">
      <alignment horizontal="center"/>
      <protection locked="0"/>
    </xf>
    <xf numFmtId="0" fontId="6" fillId="8" borderId="0" xfId="0" applyNumberFormat="1" applyFont="1" applyFill="1" applyBorder="1" applyAlignment="1" applyProtection="1">
      <alignment horizontal="center"/>
      <protection locked="0"/>
    </xf>
    <xf numFmtId="164" fontId="6" fillId="3" borderId="5" xfId="0" applyNumberFormat="1" applyFont="1" applyFill="1" applyBorder="1" applyAlignment="1">
      <alignment horizontal="center"/>
    </xf>
    <xf numFmtId="167" fontId="7" fillId="3" borderId="5" xfId="0" applyNumberFormat="1" applyFont="1" applyFill="1" applyBorder="1" applyAlignment="1" applyProtection="1">
      <alignment horizontal="center"/>
      <protection locked="0"/>
    </xf>
    <xf numFmtId="0" fontId="4" fillId="0" borderId="0" xfId="0" applyFont="1" applyAlignment="1"/>
    <xf numFmtId="0" fontId="4" fillId="0" borderId="0" xfId="0" applyFont="1" applyAlignment="1">
      <alignment horizontal="left"/>
    </xf>
    <xf numFmtId="0" fontId="6" fillId="8" borderId="0" xfId="0" applyFont="1" applyFill="1" applyAlignment="1" applyProtection="1">
      <alignment horizontal="left"/>
    </xf>
    <xf numFmtId="0" fontId="12" fillId="3" borderId="17" xfId="0" applyFont="1" applyFill="1" applyBorder="1"/>
    <xf numFmtId="165" fontId="18" fillId="3" borderId="2" xfId="3" applyNumberFormat="1" applyFont="1" applyFill="1" applyBorder="1" applyAlignment="1">
      <alignment horizontal="center" vertical="center"/>
    </xf>
    <xf numFmtId="165" fontId="18" fillId="3" borderId="5" xfId="3" applyNumberFormat="1" applyFont="1" applyFill="1" applyBorder="1" applyAlignment="1">
      <alignment horizontal="center" vertical="center"/>
    </xf>
    <xf numFmtId="0" fontId="10" fillId="4" borderId="0" xfId="0" applyFont="1" applyFill="1" applyBorder="1" applyAlignment="1" applyProtection="1">
      <alignment horizontal="center"/>
      <protection locked="0"/>
    </xf>
    <xf numFmtId="0" fontId="10" fillId="4" borderId="0" xfId="0" applyFont="1" applyFill="1" applyBorder="1" applyAlignment="1" applyProtection="1">
      <alignment horizontal="left"/>
      <protection locked="0"/>
    </xf>
    <xf numFmtId="0" fontId="10" fillId="4" borderId="0" xfId="0" quotePrefix="1" applyFont="1" applyFill="1" applyBorder="1" applyAlignment="1" applyProtection="1">
      <alignment horizontal="left"/>
      <protection locked="0"/>
    </xf>
    <xf numFmtId="0" fontId="7" fillId="3" borderId="0" xfId="0" applyFont="1" applyFill="1" applyBorder="1" applyAlignment="1">
      <alignment horizontal="right"/>
    </xf>
    <xf numFmtId="0" fontId="7" fillId="3" borderId="0" xfId="0" applyFont="1" applyFill="1" applyBorder="1" applyAlignment="1">
      <alignment horizontal="right" indent="1"/>
    </xf>
    <xf numFmtId="0" fontId="1" fillId="0" borderId="0" xfId="0" applyFont="1"/>
    <xf numFmtId="0" fontId="15" fillId="0" borderId="0" xfId="0" applyFont="1" applyFill="1" applyAlignment="1">
      <alignment horizontal="left" vertical="top" wrapText="1"/>
    </xf>
    <xf numFmtId="0" fontId="12" fillId="0" borderId="0" xfId="0" quotePrefix="1" applyFont="1" applyAlignment="1">
      <alignment vertical="top"/>
    </xf>
    <xf numFmtId="0" fontId="15" fillId="0" borderId="0" xfId="0" applyFont="1" applyFill="1" applyAlignment="1">
      <alignment horizontal="left" vertical="top"/>
    </xf>
    <xf numFmtId="167" fontId="16" fillId="8" borderId="0" xfId="0" applyNumberFormat="1" applyFont="1" applyFill="1" applyBorder="1" applyAlignment="1" applyProtection="1">
      <alignment horizontal="center"/>
      <protection locked="0"/>
    </xf>
    <xf numFmtId="0" fontId="12" fillId="8" borderId="0" xfId="0" applyFont="1" applyFill="1" applyBorder="1"/>
    <xf numFmtId="167" fontId="7" fillId="3" borderId="18" xfId="0" applyNumberFormat="1" applyFont="1" applyFill="1" applyBorder="1" applyAlignment="1" applyProtection="1">
      <alignment horizontal="right" vertical="center" wrapText="1"/>
      <protection locked="0"/>
    </xf>
    <xf numFmtId="167" fontId="7" fillId="3" borderId="18" xfId="0" applyNumberFormat="1" applyFont="1" applyFill="1" applyBorder="1" applyAlignment="1" applyProtection="1">
      <alignment vertical="center" wrapText="1"/>
      <protection locked="0"/>
    </xf>
    <xf numFmtId="167" fontId="7" fillId="3" borderId="6" xfId="0" applyNumberFormat="1" applyFont="1" applyFill="1" applyBorder="1" applyAlignment="1" applyProtection="1">
      <alignment vertical="center" wrapText="1"/>
      <protection locked="0"/>
    </xf>
    <xf numFmtId="0" fontId="0" fillId="0" borderId="0" xfId="0" applyBorder="1" applyAlignment="1">
      <alignment horizontal="center"/>
    </xf>
    <xf numFmtId="0" fontId="10" fillId="4" borderId="0" xfId="0" applyFont="1" applyFill="1" applyAlignment="1" applyProtection="1">
      <alignment horizontal="left" vertical="top"/>
      <protection locked="0"/>
    </xf>
    <xf numFmtId="0" fontId="4" fillId="0" borderId="0" xfId="0" applyFont="1" applyAlignment="1">
      <alignment horizontal="left" vertical="top" wrapText="1"/>
    </xf>
    <xf numFmtId="0" fontId="4" fillId="0" borderId="0" xfId="0" applyFont="1" applyAlignment="1">
      <alignment horizontal="left" wrapText="1"/>
    </xf>
    <xf numFmtId="0" fontId="12" fillId="0" borderId="0" xfId="0" applyFont="1" applyAlignment="1">
      <alignment horizontal="right"/>
    </xf>
    <xf numFmtId="0" fontId="0" fillId="0" borderId="0" xfId="0" applyFill="1" applyBorder="1"/>
    <xf numFmtId="0" fontId="10" fillId="4" borderId="18" xfId="0" applyFont="1" applyFill="1" applyBorder="1" applyAlignment="1" applyProtection="1">
      <alignment horizontal="center"/>
      <protection locked="0"/>
    </xf>
    <xf numFmtId="0" fontId="7" fillId="3" borderId="20" xfId="0" applyFont="1" applyFill="1" applyBorder="1" applyAlignment="1">
      <alignment horizontal="left" indent="1"/>
    </xf>
    <xf numFmtId="0" fontId="7" fillId="3" borderId="20" xfId="0" applyFont="1" applyFill="1" applyBorder="1" applyAlignment="1">
      <alignment horizontal="left" indent="2"/>
    </xf>
    <xf numFmtId="164" fontId="7" fillId="3" borderId="4" xfId="0" applyNumberFormat="1" applyFont="1" applyFill="1" applyBorder="1" applyAlignment="1">
      <alignment horizontal="left" indent="1"/>
    </xf>
    <xf numFmtId="171" fontId="18" fillId="3" borderId="2" xfId="3" applyNumberFormat="1" applyFont="1" applyFill="1" applyBorder="1" applyAlignment="1">
      <alignment horizontal="center"/>
    </xf>
    <xf numFmtId="171" fontId="18" fillId="3" borderId="3" xfId="3" applyNumberFormat="1" applyFont="1" applyFill="1" applyBorder="1" applyAlignment="1">
      <alignment horizontal="center"/>
    </xf>
    <xf numFmtId="171" fontId="18" fillId="3" borderId="5" xfId="3" applyNumberFormat="1" applyFont="1" applyFill="1" applyBorder="1" applyAlignment="1">
      <alignment horizontal="center"/>
    </xf>
    <xf numFmtId="165" fontId="7" fillId="3" borderId="0" xfId="0" applyNumberFormat="1" applyFont="1" applyFill="1"/>
    <xf numFmtId="171" fontId="18" fillId="3" borderId="4" xfId="3" applyNumberFormat="1" applyFont="1" applyFill="1" applyBorder="1" applyAlignment="1">
      <alignment horizontal="center"/>
    </xf>
    <xf numFmtId="0" fontId="7" fillId="3" borderId="0" xfId="0" applyNumberFormat="1" applyFont="1" applyFill="1" applyBorder="1" applyAlignment="1" applyProtection="1">
      <alignment horizontal="center"/>
      <protection locked="0"/>
    </xf>
    <xf numFmtId="0" fontId="1" fillId="0" borderId="0" xfId="0" applyFont="1" applyAlignment="1">
      <alignment horizontal="right"/>
    </xf>
    <xf numFmtId="165" fontId="35" fillId="9" borderId="1" xfId="3" applyNumberFormat="1" applyFont="1" applyFill="1" applyBorder="1" applyAlignment="1">
      <alignment horizontal="center" vertical="center"/>
    </xf>
    <xf numFmtId="0" fontId="36" fillId="3" borderId="17" xfId="0" applyFont="1" applyFill="1" applyBorder="1" applyProtection="1">
      <protection locked="0"/>
    </xf>
    <xf numFmtId="0" fontId="36" fillId="3" borderId="19" xfId="0" applyFont="1" applyFill="1" applyBorder="1" applyProtection="1">
      <protection locked="0"/>
    </xf>
    <xf numFmtId="0" fontId="15" fillId="0" borderId="2" xfId="0" applyFont="1" applyFill="1" applyBorder="1" applyAlignment="1">
      <alignment horizontal="left" vertical="top"/>
    </xf>
    <xf numFmtId="0" fontId="15" fillId="0" borderId="2" xfId="0" applyFont="1" applyFill="1" applyBorder="1" applyAlignment="1">
      <alignment horizontal="left" vertical="top" wrapText="1"/>
    </xf>
    <xf numFmtId="0" fontId="7" fillId="3" borderId="0" xfId="0" applyFont="1" applyFill="1" applyAlignment="1">
      <alignment horizontal="center"/>
    </xf>
    <xf numFmtId="0" fontId="10" fillId="4" borderId="0" xfId="0" applyFont="1" applyFill="1" applyAlignment="1" applyProtection="1">
      <alignment horizontal="center"/>
    </xf>
    <xf numFmtId="2" fontId="7" fillId="3" borderId="0" xfId="0" applyNumberFormat="1" applyFont="1" applyFill="1" applyAlignment="1">
      <alignment horizontal="center"/>
    </xf>
    <xf numFmtId="0" fontId="38" fillId="3" borderId="0" xfId="0" applyFont="1" applyFill="1"/>
    <xf numFmtId="0" fontId="7" fillId="3" borderId="1" xfId="0" applyFont="1" applyFill="1" applyBorder="1" applyAlignment="1">
      <alignment horizontal="center"/>
    </xf>
    <xf numFmtId="167" fontId="7" fillId="3" borderId="20" xfId="0" applyNumberFormat="1" applyFont="1" applyFill="1" applyBorder="1" applyAlignment="1" applyProtection="1">
      <alignment horizontal="left"/>
      <protection locked="0"/>
    </xf>
    <xf numFmtId="167" fontId="7" fillId="3" borderId="0" xfId="0" applyNumberFormat="1" applyFont="1" applyFill="1" applyBorder="1" applyAlignment="1" applyProtection="1">
      <alignment horizontal="left"/>
      <protection locked="0"/>
    </xf>
    <xf numFmtId="0" fontId="7" fillId="3" borderId="0" xfId="0" applyFont="1" applyFill="1" applyAlignment="1">
      <alignment horizontal="center"/>
    </xf>
    <xf numFmtId="167" fontId="7" fillId="3" borderId="1" xfId="0" applyNumberFormat="1" applyFont="1" applyFill="1" applyBorder="1" applyAlignment="1" applyProtection="1">
      <protection locked="0"/>
    </xf>
    <xf numFmtId="167" fontId="7" fillId="3" borderId="2" xfId="0" applyNumberFormat="1" applyFont="1" applyFill="1" applyBorder="1" applyAlignment="1" applyProtection="1">
      <protection locked="0"/>
    </xf>
    <xf numFmtId="167" fontId="7" fillId="3" borderId="20" xfId="0" applyNumberFormat="1" applyFont="1" applyFill="1" applyBorder="1" applyAlignment="1" applyProtection="1">
      <protection locked="0"/>
    </xf>
    <xf numFmtId="167" fontId="7" fillId="3" borderId="0" xfId="0" applyNumberFormat="1" applyFont="1" applyFill="1" applyBorder="1" applyAlignment="1" applyProtection="1">
      <protection locked="0"/>
    </xf>
    <xf numFmtId="167" fontId="7" fillId="3" borderId="3" xfId="0" applyNumberFormat="1" applyFont="1" applyFill="1" applyBorder="1" applyAlignment="1" applyProtection="1">
      <protection locked="0"/>
    </xf>
    <xf numFmtId="167" fontId="7" fillId="3" borderId="18" xfId="0" applyNumberFormat="1" applyFont="1" applyFill="1" applyBorder="1" applyAlignment="1" applyProtection="1">
      <protection locked="0"/>
    </xf>
    <xf numFmtId="0" fontId="7" fillId="3" borderId="0" xfId="0" applyFont="1" applyFill="1" applyAlignment="1">
      <alignment horizontal="center"/>
    </xf>
    <xf numFmtId="9" fontId="10" fillId="4" borderId="0" xfId="4" applyFont="1" applyFill="1" applyAlignment="1" applyProtection="1">
      <alignment horizontal="center"/>
      <protection locked="0"/>
    </xf>
    <xf numFmtId="0" fontId="12" fillId="3" borderId="16" xfId="0" applyFont="1" applyFill="1" applyBorder="1"/>
    <xf numFmtId="0" fontId="12" fillId="3" borderId="19" xfId="0" applyFont="1" applyFill="1" applyBorder="1"/>
    <xf numFmtId="172" fontId="7" fillId="3" borderId="0" xfId="0" applyNumberFormat="1" applyFont="1" applyFill="1" applyAlignment="1">
      <alignment horizontal="center"/>
    </xf>
    <xf numFmtId="0" fontId="7" fillId="3" borderId="0" xfId="0" applyFont="1" applyFill="1" applyAlignment="1">
      <alignment horizontal="center" vertical="top"/>
    </xf>
    <xf numFmtId="0" fontId="1" fillId="0" borderId="0" xfId="0" applyFont="1" applyAlignment="1">
      <alignment vertical="top"/>
    </xf>
    <xf numFmtId="9" fontId="10" fillId="4" borderId="0" xfId="4" applyFont="1" applyFill="1" applyAlignment="1" applyProtection="1">
      <alignment horizontal="center"/>
      <protection locked="0"/>
    </xf>
    <xf numFmtId="0" fontId="22" fillId="0" borderId="0" xfId="0" applyFont="1" applyAlignment="1">
      <alignment horizontal="center" vertical="top"/>
    </xf>
    <xf numFmtId="171" fontId="18" fillId="3" borderId="0" xfId="3" applyNumberFormat="1" applyFont="1" applyFill="1" applyBorder="1" applyAlignment="1">
      <alignment horizontal="center"/>
    </xf>
    <xf numFmtId="0" fontId="12" fillId="0" borderId="0" xfId="0" quotePrefix="1" applyFont="1" applyAlignment="1">
      <alignment horizontal="left" vertical="top" indent="1"/>
    </xf>
    <xf numFmtId="42" fontId="12" fillId="0" borderId="0" xfId="0" applyNumberFormat="1" applyFont="1" applyAlignment="1">
      <alignment vertical="top"/>
    </xf>
    <xf numFmtId="165" fontId="18" fillId="3" borderId="20" xfId="3" applyNumberFormat="1" applyFont="1" applyFill="1" applyBorder="1" applyAlignment="1">
      <alignment horizontal="center" vertical="center"/>
    </xf>
    <xf numFmtId="39" fontId="18" fillId="3" borderId="18" xfId="3" applyNumberFormat="1" applyFont="1" applyFill="1" applyBorder="1" applyAlignment="1">
      <alignment horizontal="center"/>
    </xf>
    <xf numFmtId="44" fontId="7" fillId="3" borderId="0" xfId="2" applyFont="1" applyFill="1"/>
    <xf numFmtId="44" fontId="7" fillId="3" borderId="16" xfId="2" applyFont="1" applyFill="1" applyBorder="1"/>
    <xf numFmtId="44" fontId="7" fillId="3" borderId="17" xfId="2" applyFont="1" applyFill="1" applyBorder="1"/>
    <xf numFmtId="44" fontId="7" fillId="3" borderId="19" xfId="2" applyFont="1" applyFill="1" applyBorder="1"/>
    <xf numFmtId="44" fontId="10" fillId="4" borderId="0" xfId="2" applyNumberFormat="1" applyFont="1" applyFill="1" applyAlignment="1" applyProtection="1">
      <alignment horizontal="center"/>
      <protection locked="0"/>
    </xf>
    <xf numFmtId="0" fontId="0" fillId="0" borderId="0" xfId="0" applyBorder="1" applyAlignment="1">
      <alignment horizontal="center"/>
    </xf>
    <xf numFmtId="0" fontId="5" fillId="0" borderId="0" xfId="0" applyFont="1" applyAlignment="1">
      <alignment horizontal="center"/>
    </xf>
    <xf numFmtId="0" fontId="4" fillId="0" borderId="0" xfId="0" applyFont="1" applyAlignment="1">
      <alignment horizontal="center"/>
    </xf>
    <xf numFmtId="0" fontId="12" fillId="0" borderId="0" xfId="0" applyFont="1" applyAlignment="1">
      <alignment horizontal="left" vertical="top" wrapText="1"/>
    </xf>
    <xf numFmtId="169" fontId="7" fillId="3" borderId="2" xfId="0" applyNumberFormat="1" applyFont="1" applyFill="1" applyBorder="1" applyAlignment="1">
      <alignment horizontal="left"/>
    </xf>
    <xf numFmtId="0" fontId="14" fillId="3" borderId="1" xfId="0" applyFont="1" applyFill="1" applyBorder="1" applyAlignment="1">
      <alignment horizontal="left" vertical="top" wrapText="1"/>
    </xf>
    <xf numFmtId="0" fontId="14" fillId="3" borderId="2" xfId="0" applyFont="1" applyFill="1" applyBorder="1" applyAlignment="1">
      <alignment horizontal="left" vertical="top" wrapText="1"/>
    </xf>
    <xf numFmtId="0" fontId="14" fillId="3" borderId="3" xfId="0" applyFont="1" applyFill="1" applyBorder="1" applyAlignment="1">
      <alignment horizontal="left" vertical="top" wrapText="1"/>
    </xf>
    <xf numFmtId="0" fontId="14" fillId="3" borderId="20" xfId="0" applyFont="1" applyFill="1" applyBorder="1" applyAlignment="1">
      <alignment horizontal="left" vertical="top" wrapText="1"/>
    </xf>
    <xf numFmtId="0" fontId="14" fillId="3" borderId="0" xfId="0" applyFont="1" applyFill="1" applyBorder="1" applyAlignment="1">
      <alignment horizontal="left" vertical="top" wrapText="1"/>
    </xf>
    <xf numFmtId="0" fontId="14" fillId="3" borderId="18" xfId="0" applyFont="1" applyFill="1" applyBorder="1" applyAlignment="1">
      <alignment horizontal="left" vertical="top" wrapText="1"/>
    </xf>
    <xf numFmtId="0" fontId="14" fillId="3" borderId="4" xfId="0" applyFont="1" applyFill="1" applyBorder="1" applyAlignment="1">
      <alignment horizontal="left" vertical="top" wrapText="1"/>
    </xf>
    <xf numFmtId="0" fontId="14" fillId="3" borderId="5" xfId="0" applyFont="1" applyFill="1" applyBorder="1" applyAlignment="1">
      <alignment horizontal="left" vertical="top" wrapText="1"/>
    </xf>
    <xf numFmtId="0" fontId="14" fillId="3" borderId="6" xfId="0" applyFont="1" applyFill="1" applyBorder="1" applyAlignment="1">
      <alignment horizontal="left" vertical="top" wrapText="1"/>
    </xf>
    <xf numFmtId="0" fontId="22" fillId="0" borderId="0" xfId="0" applyFont="1" applyAlignment="1">
      <alignment horizontal="center" vertical="top"/>
    </xf>
    <xf numFmtId="169" fontId="12" fillId="0" borderId="0" xfId="0" applyNumberFormat="1" applyFont="1" applyAlignment="1">
      <alignment horizontal="right"/>
    </xf>
    <xf numFmtId="0" fontId="4" fillId="0" borderId="0" xfId="0" applyFont="1" applyAlignment="1">
      <alignment horizontal="left" vertical="top" wrapText="1"/>
    </xf>
    <xf numFmtId="0" fontId="15" fillId="0" borderId="0" xfId="0" applyFont="1" applyFill="1" applyBorder="1" applyAlignment="1">
      <alignment horizontal="right" vertical="top" wrapText="1"/>
    </xf>
    <xf numFmtId="9" fontId="10" fillId="4" borderId="0" xfId="4" applyFont="1" applyFill="1" applyAlignment="1" applyProtection="1">
      <alignment horizontal="center"/>
      <protection locked="0"/>
    </xf>
    <xf numFmtId="42" fontId="12" fillId="0" borderId="0" xfId="2" applyNumberFormat="1" applyFont="1" applyFill="1" applyAlignment="1">
      <alignment horizontal="center" vertical="top"/>
    </xf>
    <xf numFmtId="42" fontId="12" fillId="0" borderId="2" xfId="2" applyNumberFormat="1" applyFont="1" applyFill="1" applyBorder="1" applyAlignment="1">
      <alignment horizontal="center" vertical="top"/>
    </xf>
    <xf numFmtId="42" fontId="12" fillId="0" borderId="5" xfId="2" applyNumberFormat="1" applyFont="1" applyFill="1" applyBorder="1" applyAlignment="1">
      <alignment horizontal="center" vertical="top"/>
    </xf>
    <xf numFmtId="0" fontId="14" fillId="3" borderId="24" xfId="0" applyFont="1" applyFill="1" applyBorder="1" applyAlignment="1">
      <alignment horizontal="center"/>
    </xf>
    <xf numFmtId="0" fontId="14" fillId="3" borderId="25" xfId="0" applyFont="1" applyFill="1" applyBorder="1" applyAlignment="1">
      <alignment horizontal="center"/>
    </xf>
    <xf numFmtId="0" fontId="14" fillId="3" borderId="26" xfId="0" applyFont="1" applyFill="1" applyBorder="1" applyAlignment="1">
      <alignment horizontal="center"/>
    </xf>
    <xf numFmtId="0" fontId="7" fillId="3" borderId="0" xfId="0" applyFont="1" applyFill="1" applyAlignment="1">
      <alignment horizontal="center"/>
    </xf>
    <xf numFmtId="0" fontId="15" fillId="0" borderId="0" xfId="0" applyFont="1" applyFill="1" applyBorder="1" applyAlignment="1">
      <alignment horizontal="left" vertical="top" wrapText="1"/>
    </xf>
    <xf numFmtId="0" fontId="15" fillId="0" borderId="5" xfId="0" applyFont="1" applyFill="1" applyBorder="1" applyAlignment="1">
      <alignment horizontal="left" vertical="top" wrapText="1"/>
    </xf>
    <xf numFmtId="44" fontId="4" fillId="0" borderId="0" xfId="2" applyFont="1" applyFill="1" applyAlignment="1">
      <alignment horizontal="left" vertical="top" indent="2"/>
    </xf>
    <xf numFmtId="0" fontId="15" fillId="0" borderId="2" xfId="0" applyFont="1" applyFill="1" applyBorder="1" applyAlignment="1">
      <alignment horizontal="right" vertical="top" wrapText="1"/>
    </xf>
    <xf numFmtId="0" fontId="6" fillId="8" borderId="0" xfId="0" applyFont="1" applyFill="1" applyBorder="1" applyAlignment="1" applyProtection="1">
      <alignment horizontal="left"/>
      <protection locked="0"/>
    </xf>
    <xf numFmtId="0" fontId="6" fillId="8" borderId="18" xfId="0" applyFont="1" applyFill="1" applyBorder="1" applyAlignment="1" applyProtection="1">
      <alignment horizontal="left"/>
      <protection locked="0"/>
    </xf>
    <xf numFmtId="0" fontId="6" fillId="8" borderId="0" xfId="0" applyFont="1" applyFill="1" applyBorder="1" applyAlignment="1" applyProtection="1">
      <alignment horizontal="center"/>
      <protection locked="0"/>
    </xf>
    <xf numFmtId="0" fontId="6" fillId="8" borderId="18" xfId="0" applyFont="1" applyFill="1" applyBorder="1" applyAlignment="1" applyProtection="1">
      <alignment horizontal="center"/>
      <protection locked="0"/>
    </xf>
  </cellXfs>
  <cellStyles count="5">
    <cellStyle name="Comma" xfId="1" builtinId="3"/>
    <cellStyle name="Currency" xfId="2" builtinId="4"/>
    <cellStyle name="Normal" xfId="0" builtinId="0"/>
    <cellStyle name="Normal_English Output" xfId="3"/>
    <cellStyle name="Percent" xfId="4" builtinId="5"/>
  </cellStyles>
  <dxfs count="3">
    <dxf>
      <fill>
        <patternFill>
          <bgColor indexed="9"/>
        </patternFill>
      </fill>
    </dxf>
    <dxf>
      <font>
        <b/>
        <i val="0"/>
        <color rgb="FFFF0000"/>
      </font>
    </dxf>
    <dxf>
      <fill>
        <patternFill>
          <bgColor indexed="9"/>
        </patternFill>
      </fill>
    </dxf>
  </dxfs>
  <tableStyles count="0" defaultTableStyle="TableStyleMedium2" defaultPivotStyle="PivotStyleLight16"/>
  <colors>
    <mruColors>
      <color rgb="FF6666FF"/>
      <color rgb="FF9966FF"/>
      <color rgb="FF9999FF"/>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428625</xdr:colOff>
      <xdr:row>64</xdr:row>
      <xdr:rowOff>114300</xdr:rowOff>
    </xdr:from>
    <xdr:to>
      <xdr:col>4</xdr:col>
      <xdr:colOff>590550</xdr:colOff>
      <xdr:row>64</xdr:row>
      <xdr:rowOff>114300</xdr:rowOff>
    </xdr:to>
    <xdr:cxnSp macro="">
      <xdr:nvCxnSpPr>
        <xdr:cNvPr id="3" name="Straight Arrow Connector 2"/>
        <xdr:cNvCxnSpPr/>
      </xdr:nvCxnSpPr>
      <xdr:spPr bwMode="auto">
        <a:xfrm>
          <a:off x="3305175" y="10315575"/>
          <a:ext cx="161925" cy="0"/>
        </a:xfrm>
        <a:prstGeom prst="straightConnector1">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triangle"/>
        </a:ln>
        <a:effectLst/>
        <a:extLst>
          <a:ext uri="{53640926-AAD7-44D8-BBD7-CCE9431645EC}">
            <a14:shadowObscured xmlns:a14="http://schemas.microsoft.com/office/drawing/2010/main" val="1"/>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57150</xdr:colOff>
      <xdr:row>24</xdr:row>
      <xdr:rowOff>19050</xdr:rowOff>
    </xdr:from>
    <xdr:to>
      <xdr:col>28</xdr:col>
      <xdr:colOff>533400</xdr:colOff>
      <xdr:row>24</xdr:row>
      <xdr:rowOff>19050</xdr:rowOff>
    </xdr:to>
    <xdr:sp macro="" textlink="">
      <xdr:nvSpPr>
        <xdr:cNvPr id="20959" name="Line 11361"/>
        <xdr:cNvSpPr>
          <a:spLocks noChangeShapeType="1"/>
        </xdr:cNvSpPr>
      </xdr:nvSpPr>
      <xdr:spPr bwMode="auto">
        <a:xfrm>
          <a:off x="6697436" y="4146550"/>
          <a:ext cx="9357178" cy="0"/>
        </a:xfrm>
        <a:prstGeom prst="line">
          <a:avLst/>
        </a:prstGeom>
        <a:noFill/>
        <a:ln w="349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16</xdr:col>
      <xdr:colOff>66675</xdr:colOff>
      <xdr:row>56</xdr:row>
      <xdr:rowOff>52611</xdr:rowOff>
    </xdr:from>
    <xdr:to>
      <xdr:col>28</xdr:col>
      <xdr:colOff>542925</xdr:colOff>
      <xdr:row>56</xdr:row>
      <xdr:rowOff>52611</xdr:rowOff>
    </xdr:to>
    <xdr:sp macro="" textlink="">
      <xdr:nvSpPr>
        <xdr:cNvPr id="20960" name="Line 11369"/>
        <xdr:cNvSpPr>
          <a:spLocks noChangeShapeType="1"/>
        </xdr:cNvSpPr>
      </xdr:nvSpPr>
      <xdr:spPr bwMode="auto">
        <a:xfrm>
          <a:off x="6861175" y="9459682"/>
          <a:ext cx="9357179" cy="0"/>
        </a:xfrm>
        <a:prstGeom prst="line">
          <a:avLst/>
        </a:prstGeom>
        <a:noFill/>
        <a:ln w="349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16</xdr:col>
      <xdr:colOff>47625</xdr:colOff>
      <xdr:row>39</xdr:row>
      <xdr:rowOff>57150</xdr:rowOff>
    </xdr:from>
    <xdr:to>
      <xdr:col>28</xdr:col>
      <xdr:colOff>523875</xdr:colOff>
      <xdr:row>39</xdr:row>
      <xdr:rowOff>57150</xdr:rowOff>
    </xdr:to>
    <xdr:sp macro="" textlink="">
      <xdr:nvSpPr>
        <xdr:cNvPr id="20961" name="Line 11370"/>
        <xdr:cNvSpPr>
          <a:spLocks noChangeShapeType="1"/>
        </xdr:cNvSpPr>
      </xdr:nvSpPr>
      <xdr:spPr bwMode="auto">
        <a:xfrm>
          <a:off x="6677025" y="5876925"/>
          <a:ext cx="9372600" cy="0"/>
        </a:xfrm>
        <a:prstGeom prst="line">
          <a:avLst/>
        </a:prstGeom>
        <a:noFill/>
        <a:ln w="349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16</xdr:col>
      <xdr:colOff>876300</xdr:colOff>
      <xdr:row>2</xdr:row>
      <xdr:rowOff>76200</xdr:rowOff>
    </xdr:from>
    <xdr:to>
      <xdr:col>16</xdr:col>
      <xdr:colOff>1200150</xdr:colOff>
      <xdr:row>3</xdr:row>
      <xdr:rowOff>38100</xdr:rowOff>
    </xdr:to>
    <xdr:cxnSp macro="">
      <xdr:nvCxnSpPr>
        <xdr:cNvPr id="20962" name="AutoShape 11395"/>
        <xdr:cNvCxnSpPr>
          <a:cxnSpLocks noChangeShapeType="1"/>
        </xdr:cNvCxnSpPr>
      </xdr:nvCxnSpPr>
      <xdr:spPr bwMode="auto">
        <a:xfrm>
          <a:off x="7505700" y="523875"/>
          <a:ext cx="314325" cy="123825"/>
        </a:xfrm>
        <a:prstGeom prst="bentConnector3">
          <a:avLst>
            <a:gd name="adj1" fmla="val 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18</xdr:col>
      <xdr:colOff>276224</xdr:colOff>
      <xdr:row>21</xdr:row>
      <xdr:rowOff>85725</xdr:rowOff>
    </xdr:from>
    <xdr:to>
      <xdr:col>18</xdr:col>
      <xdr:colOff>1006927</xdr:colOff>
      <xdr:row>21</xdr:row>
      <xdr:rowOff>85725</xdr:rowOff>
    </xdr:to>
    <xdr:sp macro="" textlink="">
      <xdr:nvSpPr>
        <xdr:cNvPr id="20963" name="Line 11403"/>
        <xdr:cNvSpPr>
          <a:spLocks noChangeShapeType="1"/>
        </xdr:cNvSpPr>
      </xdr:nvSpPr>
      <xdr:spPr bwMode="auto">
        <a:xfrm>
          <a:off x="9393010" y="3523796"/>
          <a:ext cx="730703" cy="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16</xdr:col>
      <xdr:colOff>1190625</xdr:colOff>
      <xdr:row>41</xdr:row>
      <xdr:rowOff>57150</xdr:rowOff>
    </xdr:from>
    <xdr:to>
      <xdr:col>17</xdr:col>
      <xdr:colOff>95250</xdr:colOff>
      <xdr:row>43</xdr:row>
      <xdr:rowOff>152400</xdr:rowOff>
    </xdr:to>
    <xdr:sp macro="" textlink="">
      <xdr:nvSpPr>
        <xdr:cNvPr id="20965" name="AutoShape 11475"/>
        <xdr:cNvSpPr>
          <a:spLocks/>
        </xdr:cNvSpPr>
      </xdr:nvSpPr>
      <xdr:spPr bwMode="auto">
        <a:xfrm>
          <a:off x="7820025" y="6219825"/>
          <a:ext cx="95250" cy="438150"/>
        </a:xfrm>
        <a:prstGeom prst="leftBrace">
          <a:avLst>
            <a:gd name="adj1" fmla="val 38333"/>
            <a:gd name="adj2" fmla="val 50000"/>
          </a:avLst>
        </a:prstGeom>
        <a:noFill/>
        <a:ln w="9525">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21</xdr:col>
      <xdr:colOff>28575</xdr:colOff>
      <xdr:row>41</xdr:row>
      <xdr:rowOff>57150</xdr:rowOff>
    </xdr:from>
    <xdr:to>
      <xdr:col>21</xdr:col>
      <xdr:colOff>161925</xdr:colOff>
      <xdr:row>44</xdr:row>
      <xdr:rowOff>0</xdr:rowOff>
    </xdr:to>
    <xdr:sp macro="" textlink="">
      <xdr:nvSpPr>
        <xdr:cNvPr id="20966" name="AutoShape 11476"/>
        <xdr:cNvSpPr>
          <a:spLocks/>
        </xdr:cNvSpPr>
      </xdr:nvSpPr>
      <xdr:spPr bwMode="auto">
        <a:xfrm>
          <a:off x="10544175" y="6219825"/>
          <a:ext cx="133350" cy="457200"/>
        </a:xfrm>
        <a:prstGeom prst="rightBrace">
          <a:avLst>
            <a:gd name="adj1" fmla="val 28571"/>
            <a:gd name="adj2" fmla="val 50000"/>
          </a:avLst>
        </a:prstGeom>
        <a:noFill/>
        <a:ln w="9525">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24</xdr:col>
      <xdr:colOff>0</xdr:colOff>
      <xdr:row>30</xdr:row>
      <xdr:rowOff>85725</xdr:rowOff>
    </xdr:from>
    <xdr:to>
      <xdr:col>24</xdr:col>
      <xdr:colOff>142875</xdr:colOff>
      <xdr:row>30</xdr:row>
      <xdr:rowOff>85725</xdr:rowOff>
    </xdr:to>
    <xdr:sp macro="" textlink="">
      <xdr:nvSpPr>
        <xdr:cNvPr id="20967" name="Line 11740"/>
        <xdr:cNvSpPr>
          <a:spLocks noChangeShapeType="1"/>
        </xdr:cNvSpPr>
      </xdr:nvSpPr>
      <xdr:spPr bwMode="auto">
        <a:xfrm>
          <a:off x="12163425" y="4533900"/>
          <a:ext cx="142875" cy="0"/>
        </a:xfrm>
        <a:prstGeom prst="line">
          <a:avLst/>
        </a:prstGeom>
        <a:noFill/>
        <a:ln w="9525">
          <a:solidFill>
            <a:srgbClr val="000000"/>
          </a:solidFill>
          <a:round/>
          <a:headEnd/>
          <a:tailEnd type="triangle" w="sm" len="med"/>
        </a:ln>
        <a:extLst>
          <a:ext uri="{909E8E84-426E-40DD-AFC4-6F175D3DCCD1}">
            <a14:hiddenFill xmlns:a14="http://schemas.microsoft.com/office/drawing/2010/main">
              <a:noFill/>
            </a14:hiddenFill>
          </a:ext>
        </a:extLst>
      </xdr:spPr>
    </xdr:sp>
    <xdr:clientData/>
  </xdr:twoCellAnchor>
  <xdr:twoCellAnchor>
    <xdr:from>
      <xdr:col>16</xdr:col>
      <xdr:colOff>123825</xdr:colOff>
      <xdr:row>34</xdr:row>
      <xdr:rowOff>142875</xdr:rowOff>
    </xdr:from>
    <xdr:to>
      <xdr:col>16</xdr:col>
      <xdr:colOff>447675</xdr:colOff>
      <xdr:row>35</xdr:row>
      <xdr:rowOff>95250</xdr:rowOff>
    </xdr:to>
    <xdr:cxnSp macro="">
      <xdr:nvCxnSpPr>
        <xdr:cNvPr id="20968" name="AutoShape 11395"/>
        <xdr:cNvCxnSpPr>
          <a:cxnSpLocks noChangeShapeType="1"/>
        </xdr:cNvCxnSpPr>
      </xdr:nvCxnSpPr>
      <xdr:spPr bwMode="auto">
        <a:xfrm>
          <a:off x="6753225" y="5105400"/>
          <a:ext cx="323850" cy="123825"/>
        </a:xfrm>
        <a:prstGeom prst="bentConnector3">
          <a:avLst>
            <a:gd name="adj1" fmla="val 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18</xdr:col>
      <xdr:colOff>154215</xdr:colOff>
      <xdr:row>30</xdr:row>
      <xdr:rowOff>99786</xdr:rowOff>
    </xdr:from>
    <xdr:to>
      <xdr:col>18</xdr:col>
      <xdr:colOff>371929</xdr:colOff>
      <xdr:row>30</xdr:row>
      <xdr:rowOff>99786</xdr:rowOff>
    </xdr:to>
    <xdr:sp macro="" textlink="">
      <xdr:nvSpPr>
        <xdr:cNvPr id="11" name="Line 11403"/>
        <xdr:cNvSpPr>
          <a:spLocks noChangeShapeType="1"/>
        </xdr:cNvSpPr>
      </xdr:nvSpPr>
      <xdr:spPr bwMode="auto">
        <a:xfrm>
          <a:off x="9271001" y="5089072"/>
          <a:ext cx="217714" cy="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18</xdr:col>
      <xdr:colOff>154215</xdr:colOff>
      <xdr:row>31</xdr:row>
      <xdr:rowOff>99786</xdr:rowOff>
    </xdr:from>
    <xdr:to>
      <xdr:col>18</xdr:col>
      <xdr:colOff>371929</xdr:colOff>
      <xdr:row>31</xdr:row>
      <xdr:rowOff>99786</xdr:rowOff>
    </xdr:to>
    <xdr:sp macro="" textlink="">
      <xdr:nvSpPr>
        <xdr:cNvPr id="12" name="Line 11403"/>
        <xdr:cNvSpPr>
          <a:spLocks noChangeShapeType="1"/>
        </xdr:cNvSpPr>
      </xdr:nvSpPr>
      <xdr:spPr bwMode="auto">
        <a:xfrm>
          <a:off x="9271001" y="5089072"/>
          <a:ext cx="217714" cy="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57150</xdr:colOff>
      <xdr:row>10</xdr:row>
      <xdr:rowOff>19050</xdr:rowOff>
    </xdr:from>
    <xdr:to>
      <xdr:col>29</xdr:col>
      <xdr:colOff>533400</xdr:colOff>
      <xdr:row>10</xdr:row>
      <xdr:rowOff>19050</xdr:rowOff>
    </xdr:to>
    <xdr:sp macro="" textlink="">
      <xdr:nvSpPr>
        <xdr:cNvPr id="21720" name="Line 11361"/>
        <xdr:cNvSpPr>
          <a:spLocks noChangeShapeType="1"/>
        </xdr:cNvSpPr>
      </xdr:nvSpPr>
      <xdr:spPr bwMode="auto">
        <a:xfrm>
          <a:off x="6686550" y="1419225"/>
          <a:ext cx="9467850" cy="0"/>
        </a:xfrm>
        <a:prstGeom prst="line">
          <a:avLst/>
        </a:prstGeom>
        <a:noFill/>
        <a:ln w="349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15</xdr:col>
      <xdr:colOff>84818</xdr:colOff>
      <xdr:row>41</xdr:row>
      <xdr:rowOff>97971</xdr:rowOff>
    </xdr:from>
    <xdr:to>
      <xdr:col>29</xdr:col>
      <xdr:colOff>415925</xdr:colOff>
      <xdr:row>41</xdr:row>
      <xdr:rowOff>97971</xdr:rowOff>
    </xdr:to>
    <xdr:sp macro="" textlink="">
      <xdr:nvSpPr>
        <xdr:cNvPr id="21721" name="Line 11369"/>
        <xdr:cNvSpPr>
          <a:spLocks noChangeShapeType="1"/>
        </xdr:cNvSpPr>
      </xdr:nvSpPr>
      <xdr:spPr bwMode="auto">
        <a:xfrm>
          <a:off x="6725104" y="6502400"/>
          <a:ext cx="9456964" cy="0"/>
        </a:xfrm>
        <a:prstGeom prst="line">
          <a:avLst/>
        </a:prstGeom>
        <a:noFill/>
        <a:ln w="349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17</xdr:col>
      <xdr:colOff>47625</xdr:colOff>
      <xdr:row>22</xdr:row>
      <xdr:rowOff>57150</xdr:rowOff>
    </xdr:from>
    <xdr:to>
      <xdr:col>29</xdr:col>
      <xdr:colOff>523875</xdr:colOff>
      <xdr:row>22</xdr:row>
      <xdr:rowOff>57150</xdr:rowOff>
    </xdr:to>
    <xdr:sp macro="" textlink="">
      <xdr:nvSpPr>
        <xdr:cNvPr id="21722" name="Line 11370"/>
        <xdr:cNvSpPr>
          <a:spLocks noChangeShapeType="1"/>
        </xdr:cNvSpPr>
      </xdr:nvSpPr>
      <xdr:spPr bwMode="auto">
        <a:xfrm>
          <a:off x="6677025" y="3171825"/>
          <a:ext cx="9467850" cy="0"/>
        </a:xfrm>
        <a:prstGeom prst="line">
          <a:avLst/>
        </a:prstGeom>
        <a:noFill/>
        <a:ln w="349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17</xdr:col>
      <xdr:colOff>876300</xdr:colOff>
      <xdr:row>2</xdr:row>
      <xdr:rowOff>76200</xdr:rowOff>
    </xdr:from>
    <xdr:to>
      <xdr:col>17</xdr:col>
      <xdr:colOff>1200150</xdr:colOff>
      <xdr:row>3</xdr:row>
      <xdr:rowOff>38100</xdr:rowOff>
    </xdr:to>
    <xdr:cxnSp macro="">
      <xdr:nvCxnSpPr>
        <xdr:cNvPr id="21723" name="AutoShape 11395"/>
        <xdr:cNvCxnSpPr>
          <a:cxnSpLocks noChangeShapeType="1"/>
        </xdr:cNvCxnSpPr>
      </xdr:nvCxnSpPr>
      <xdr:spPr bwMode="auto">
        <a:xfrm>
          <a:off x="7505700" y="523875"/>
          <a:ext cx="323850" cy="123825"/>
        </a:xfrm>
        <a:prstGeom prst="bentConnector3">
          <a:avLst>
            <a:gd name="adj1" fmla="val 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21</xdr:col>
      <xdr:colOff>276225</xdr:colOff>
      <xdr:row>55</xdr:row>
      <xdr:rowOff>85725</xdr:rowOff>
    </xdr:from>
    <xdr:to>
      <xdr:col>21</xdr:col>
      <xdr:colOff>638175</xdr:colOff>
      <xdr:row>55</xdr:row>
      <xdr:rowOff>85725</xdr:rowOff>
    </xdr:to>
    <xdr:sp macro="" textlink="">
      <xdr:nvSpPr>
        <xdr:cNvPr id="21724" name="Line 11403"/>
        <xdr:cNvSpPr>
          <a:spLocks noChangeShapeType="1"/>
        </xdr:cNvSpPr>
      </xdr:nvSpPr>
      <xdr:spPr bwMode="auto">
        <a:xfrm>
          <a:off x="9010650" y="9248775"/>
          <a:ext cx="361950" cy="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17</xdr:col>
      <xdr:colOff>1190625</xdr:colOff>
      <xdr:row>24</xdr:row>
      <xdr:rowOff>57150</xdr:rowOff>
    </xdr:from>
    <xdr:to>
      <xdr:col>18</xdr:col>
      <xdr:colOff>95250</xdr:colOff>
      <xdr:row>26</xdr:row>
      <xdr:rowOff>152400</xdr:rowOff>
    </xdr:to>
    <xdr:sp macro="" textlink="">
      <xdr:nvSpPr>
        <xdr:cNvPr id="21725" name="AutoShape 11475"/>
        <xdr:cNvSpPr>
          <a:spLocks/>
        </xdr:cNvSpPr>
      </xdr:nvSpPr>
      <xdr:spPr bwMode="auto">
        <a:xfrm>
          <a:off x="7820025" y="3514725"/>
          <a:ext cx="228600" cy="438150"/>
        </a:xfrm>
        <a:prstGeom prst="leftBrace">
          <a:avLst>
            <a:gd name="adj1" fmla="val 25556"/>
            <a:gd name="adj2" fmla="val 50000"/>
          </a:avLst>
        </a:prstGeom>
        <a:noFill/>
        <a:ln w="9525">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22</xdr:col>
      <xdr:colOff>28575</xdr:colOff>
      <xdr:row>24</xdr:row>
      <xdr:rowOff>57150</xdr:rowOff>
    </xdr:from>
    <xdr:to>
      <xdr:col>22</xdr:col>
      <xdr:colOff>161925</xdr:colOff>
      <xdr:row>27</xdr:row>
      <xdr:rowOff>0</xdr:rowOff>
    </xdr:to>
    <xdr:sp macro="" textlink="">
      <xdr:nvSpPr>
        <xdr:cNvPr id="21726" name="AutoShape 11476"/>
        <xdr:cNvSpPr>
          <a:spLocks/>
        </xdr:cNvSpPr>
      </xdr:nvSpPr>
      <xdr:spPr bwMode="auto">
        <a:xfrm>
          <a:off x="10677525" y="3514725"/>
          <a:ext cx="133350" cy="457200"/>
        </a:xfrm>
        <a:prstGeom prst="rightBrace">
          <a:avLst>
            <a:gd name="adj1" fmla="val 28571"/>
            <a:gd name="adj2" fmla="val 50000"/>
          </a:avLst>
        </a:prstGeom>
        <a:noFill/>
        <a:ln w="9525">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25</xdr:col>
      <xdr:colOff>0</xdr:colOff>
      <xdr:row>13</xdr:row>
      <xdr:rowOff>85725</xdr:rowOff>
    </xdr:from>
    <xdr:to>
      <xdr:col>25</xdr:col>
      <xdr:colOff>142875</xdr:colOff>
      <xdr:row>13</xdr:row>
      <xdr:rowOff>85725</xdr:rowOff>
    </xdr:to>
    <xdr:sp macro="" textlink="">
      <xdr:nvSpPr>
        <xdr:cNvPr id="21727" name="Line 11740"/>
        <xdr:cNvSpPr>
          <a:spLocks noChangeShapeType="1"/>
        </xdr:cNvSpPr>
      </xdr:nvSpPr>
      <xdr:spPr bwMode="auto">
        <a:xfrm>
          <a:off x="12258675" y="1828800"/>
          <a:ext cx="142875" cy="0"/>
        </a:xfrm>
        <a:prstGeom prst="line">
          <a:avLst/>
        </a:prstGeom>
        <a:noFill/>
        <a:ln w="9525">
          <a:solidFill>
            <a:srgbClr val="000000"/>
          </a:solidFill>
          <a:round/>
          <a:headEnd/>
          <a:tailEnd type="triangle" w="sm" len="med"/>
        </a:ln>
        <a:extLst>
          <a:ext uri="{909E8E84-426E-40DD-AFC4-6F175D3DCCD1}">
            <a14:hiddenFill xmlns:a14="http://schemas.microsoft.com/office/drawing/2010/main">
              <a:noFill/>
            </a14:hiddenFill>
          </a:ext>
        </a:extLst>
      </xdr:spPr>
    </xdr:sp>
    <xdr:clientData/>
  </xdr:twoCellAnchor>
  <xdr:twoCellAnchor>
    <xdr:from>
      <xdr:col>17</xdr:col>
      <xdr:colOff>104775</xdr:colOff>
      <xdr:row>16</xdr:row>
      <xdr:rowOff>142875</xdr:rowOff>
    </xdr:from>
    <xdr:to>
      <xdr:col>17</xdr:col>
      <xdr:colOff>428625</xdr:colOff>
      <xdr:row>17</xdr:row>
      <xdr:rowOff>95250</xdr:rowOff>
    </xdr:to>
    <xdr:cxnSp macro="">
      <xdr:nvCxnSpPr>
        <xdr:cNvPr id="21728" name="AutoShape 11395"/>
        <xdr:cNvCxnSpPr>
          <a:cxnSpLocks noChangeShapeType="1"/>
        </xdr:cNvCxnSpPr>
      </xdr:nvCxnSpPr>
      <xdr:spPr bwMode="auto">
        <a:xfrm>
          <a:off x="6734175" y="2400300"/>
          <a:ext cx="323850" cy="123825"/>
        </a:xfrm>
        <a:prstGeom prst="bentConnector3">
          <a:avLst>
            <a:gd name="adj1" fmla="val 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19</xdr:col>
      <xdr:colOff>154215</xdr:colOff>
      <xdr:row>13</xdr:row>
      <xdr:rowOff>99786</xdr:rowOff>
    </xdr:from>
    <xdr:to>
      <xdr:col>19</xdr:col>
      <xdr:colOff>371929</xdr:colOff>
      <xdr:row>13</xdr:row>
      <xdr:rowOff>99786</xdr:rowOff>
    </xdr:to>
    <xdr:sp macro="" textlink="">
      <xdr:nvSpPr>
        <xdr:cNvPr id="11" name="Line 11403"/>
        <xdr:cNvSpPr>
          <a:spLocks noChangeShapeType="1"/>
        </xdr:cNvSpPr>
      </xdr:nvSpPr>
      <xdr:spPr bwMode="auto">
        <a:xfrm>
          <a:off x="9250590" y="5062311"/>
          <a:ext cx="217714" cy="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14288</xdr:rowOff>
    </xdr:from>
    <xdr:to>
      <xdr:col>21</xdr:col>
      <xdr:colOff>581025</xdr:colOff>
      <xdr:row>72</xdr:row>
      <xdr:rowOff>30697</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5400000">
          <a:off x="853808" y="-839520"/>
          <a:ext cx="11675009" cy="13382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457200</xdr:colOff>
      <xdr:row>8</xdr:row>
      <xdr:rowOff>9525</xdr:rowOff>
    </xdr:from>
    <xdr:to>
      <xdr:col>47</xdr:col>
      <xdr:colOff>180975</xdr:colOff>
      <xdr:row>137</xdr:row>
      <xdr:rowOff>38100</xdr:rowOff>
    </xdr:to>
    <xdr:pic>
      <xdr:nvPicPr>
        <xdr:cNvPr id="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649200" y="1304925"/>
          <a:ext cx="16182975" cy="20916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95"/>
  <sheetViews>
    <sheetView zoomScale="105" zoomScaleNormal="105" workbookViewId="0">
      <pane ySplit="1" topLeftCell="A59" activePane="bottomLeft" state="frozen"/>
      <selection pane="bottomLeft" activeCell="F95" sqref="F95"/>
    </sheetView>
  </sheetViews>
  <sheetFormatPr defaultRowHeight="12.75" x14ac:dyDescent="0.2"/>
  <cols>
    <col min="1" max="1" width="10.7109375" customWidth="1"/>
    <col min="2" max="2" width="14.140625" customWidth="1"/>
    <col min="6" max="6" width="10.28515625" customWidth="1"/>
    <col min="7" max="7" width="10.28515625" bestFit="1" customWidth="1"/>
  </cols>
  <sheetData>
    <row r="1" spans="1:6" x14ac:dyDescent="0.2">
      <c r="A1" s="4" t="s">
        <v>1</v>
      </c>
      <c r="B1" s="4" t="s">
        <v>3</v>
      </c>
      <c r="C1" s="4"/>
      <c r="D1" s="4"/>
      <c r="E1" s="4" t="s">
        <v>4</v>
      </c>
      <c r="F1" s="4" t="s">
        <v>5</v>
      </c>
    </row>
    <row r="2" spans="1:6" x14ac:dyDescent="0.2">
      <c r="A2" s="5">
        <v>40874</v>
      </c>
      <c r="B2" t="s">
        <v>165</v>
      </c>
      <c r="E2" t="s">
        <v>6</v>
      </c>
      <c r="F2" t="s">
        <v>7</v>
      </c>
    </row>
    <row r="4" spans="1:6" x14ac:dyDescent="0.2">
      <c r="A4" s="5">
        <v>40904</v>
      </c>
      <c r="B4" t="s">
        <v>166</v>
      </c>
      <c r="E4" t="s">
        <v>6</v>
      </c>
      <c r="F4" t="s">
        <v>167</v>
      </c>
    </row>
    <row r="5" spans="1:6" x14ac:dyDescent="0.2">
      <c r="A5" s="5">
        <v>40904</v>
      </c>
      <c r="B5" t="s">
        <v>166</v>
      </c>
      <c r="E5" t="s">
        <v>6</v>
      </c>
      <c r="F5" t="s">
        <v>168</v>
      </c>
    </row>
    <row r="6" spans="1:6" x14ac:dyDescent="0.2">
      <c r="A6" s="5">
        <v>40904</v>
      </c>
      <c r="B6" t="s">
        <v>166</v>
      </c>
      <c r="E6" t="s">
        <v>6</v>
      </c>
      <c r="F6" t="s">
        <v>169</v>
      </c>
    </row>
    <row r="7" spans="1:6" x14ac:dyDescent="0.2">
      <c r="A7" s="5">
        <v>40904</v>
      </c>
      <c r="B7" t="s">
        <v>166</v>
      </c>
      <c r="E7" t="s">
        <v>6</v>
      </c>
      <c r="F7" t="s">
        <v>171</v>
      </c>
    </row>
    <row r="8" spans="1:6" x14ac:dyDescent="0.2">
      <c r="A8" s="5"/>
    </row>
    <row r="9" spans="1:6" x14ac:dyDescent="0.2">
      <c r="A9" s="5"/>
      <c r="B9" t="s">
        <v>175</v>
      </c>
      <c r="E9" t="s">
        <v>6</v>
      </c>
      <c r="F9" t="s">
        <v>176</v>
      </c>
    </row>
    <row r="10" spans="1:6" x14ac:dyDescent="0.2">
      <c r="A10" s="5"/>
    </row>
    <row r="11" spans="1:6" x14ac:dyDescent="0.2">
      <c r="A11" s="5">
        <v>41226</v>
      </c>
      <c r="B11" t="s">
        <v>177</v>
      </c>
      <c r="E11" t="s">
        <v>6</v>
      </c>
      <c r="F11" t="s">
        <v>178</v>
      </c>
    </row>
    <row r="12" spans="1:6" x14ac:dyDescent="0.2">
      <c r="A12" s="5">
        <v>41226</v>
      </c>
      <c r="B12" t="s">
        <v>177</v>
      </c>
      <c r="E12" t="s">
        <v>6</v>
      </c>
      <c r="F12" t="s">
        <v>179</v>
      </c>
    </row>
    <row r="13" spans="1:6" x14ac:dyDescent="0.2">
      <c r="A13" s="5">
        <v>41226</v>
      </c>
      <c r="B13" t="s">
        <v>177</v>
      </c>
      <c r="E13" t="s">
        <v>6</v>
      </c>
      <c r="F13" t="s">
        <v>180</v>
      </c>
    </row>
    <row r="14" spans="1:6" x14ac:dyDescent="0.2">
      <c r="A14" s="5">
        <v>41226</v>
      </c>
      <c r="B14" t="s">
        <v>177</v>
      </c>
      <c r="E14" t="s">
        <v>6</v>
      </c>
      <c r="F14" t="s">
        <v>183</v>
      </c>
    </row>
    <row r="15" spans="1:6" x14ac:dyDescent="0.2">
      <c r="A15" s="5"/>
    </row>
    <row r="16" spans="1:6" x14ac:dyDescent="0.2">
      <c r="A16" s="5">
        <v>41287</v>
      </c>
      <c r="B16" t="s">
        <v>191</v>
      </c>
      <c r="E16" t="s">
        <v>6</v>
      </c>
      <c r="F16" t="s">
        <v>192</v>
      </c>
    </row>
    <row r="17" spans="1:6" x14ac:dyDescent="0.2">
      <c r="A17" s="5">
        <v>41287</v>
      </c>
      <c r="B17" t="s">
        <v>191</v>
      </c>
      <c r="E17" t="s">
        <v>6</v>
      </c>
      <c r="F17" t="s">
        <v>196</v>
      </c>
    </row>
    <row r="18" spans="1:6" x14ac:dyDescent="0.2">
      <c r="A18" s="5">
        <v>41287</v>
      </c>
      <c r="B18" t="s">
        <v>191</v>
      </c>
      <c r="E18" t="s">
        <v>6</v>
      </c>
      <c r="F18" t="s">
        <v>202</v>
      </c>
    </row>
    <row r="20" spans="1:6" x14ac:dyDescent="0.2">
      <c r="A20" s="5">
        <v>41458</v>
      </c>
      <c r="B20" s="139" t="s">
        <v>199</v>
      </c>
      <c r="E20" t="s">
        <v>6</v>
      </c>
      <c r="F20" s="139" t="s">
        <v>200</v>
      </c>
    </row>
    <row r="21" spans="1:6" x14ac:dyDescent="0.2">
      <c r="A21" s="5">
        <v>41458</v>
      </c>
      <c r="B21" s="139" t="s">
        <v>199</v>
      </c>
      <c r="E21" t="s">
        <v>6</v>
      </c>
      <c r="F21" s="139" t="s">
        <v>201</v>
      </c>
    </row>
    <row r="22" spans="1:6" x14ac:dyDescent="0.2">
      <c r="A22" s="5">
        <v>41458</v>
      </c>
      <c r="B22" s="139" t="s">
        <v>199</v>
      </c>
      <c r="E22" t="s">
        <v>6</v>
      </c>
      <c r="F22" s="139" t="s">
        <v>217</v>
      </c>
    </row>
    <row r="23" spans="1:6" x14ac:dyDescent="0.2">
      <c r="A23" s="5">
        <v>41458</v>
      </c>
      <c r="B23" s="139" t="s">
        <v>199</v>
      </c>
      <c r="E23" t="s">
        <v>6</v>
      </c>
      <c r="F23" s="139" t="s">
        <v>203</v>
      </c>
    </row>
    <row r="24" spans="1:6" x14ac:dyDescent="0.2">
      <c r="A24" s="5">
        <v>41458</v>
      </c>
      <c r="B24" s="139" t="s">
        <v>199</v>
      </c>
      <c r="E24" t="s">
        <v>6</v>
      </c>
      <c r="F24" s="139" t="s">
        <v>204</v>
      </c>
    </row>
    <row r="25" spans="1:6" x14ac:dyDescent="0.2">
      <c r="A25" s="5">
        <v>41458</v>
      </c>
      <c r="B25" s="139" t="s">
        <v>199</v>
      </c>
      <c r="E25" t="s">
        <v>6</v>
      </c>
      <c r="F25" s="139" t="s">
        <v>219</v>
      </c>
    </row>
    <row r="26" spans="1:6" x14ac:dyDescent="0.2">
      <c r="A26" s="5">
        <v>41458</v>
      </c>
      <c r="B26" s="139" t="s">
        <v>199</v>
      </c>
      <c r="E26" t="s">
        <v>6</v>
      </c>
      <c r="F26" s="139" t="s">
        <v>220</v>
      </c>
    </row>
    <row r="28" spans="1:6" x14ac:dyDescent="0.2">
      <c r="A28" s="5">
        <v>41466</v>
      </c>
      <c r="B28" s="139" t="s">
        <v>224</v>
      </c>
      <c r="E28" t="s">
        <v>6</v>
      </c>
      <c r="F28" s="139" t="s">
        <v>225</v>
      </c>
    </row>
    <row r="29" spans="1:6" x14ac:dyDescent="0.2">
      <c r="A29" s="5">
        <v>41466</v>
      </c>
      <c r="B29" s="139" t="s">
        <v>224</v>
      </c>
      <c r="E29" t="s">
        <v>6</v>
      </c>
      <c r="F29" s="166" t="s">
        <v>226</v>
      </c>
    </row>
    <row r="30" spans="1:6" x14ac:dyDescent="0.2">
      <c r="A30" s="5">
        <v>41466</v>
      </c>
      <c r="B30" s="139" t="s">
        <v>224</v>
      </c>
      <c r="E30" t="s">
        <v>6</v>
      </c>
      <c r="F30" s="166" t="s">
        <v>227</v>
      </c>
    </row>
    <row r="31" spans="1:6" x14ac:dyDescent="0.2">
      <c r="A31" s="5">
        <v>41466</v>
      </c>
      <c r="B31" s="139" t="s">
        <v>224</v>
      </c>
      <c r="E31" t="s">
        <v>6</v>
      </c>
      <c r="F31" s="166" t="s">
        <v>235</v>
      </c>
    </row>
    <row r="33" spans="1:6" x14ac:dyDescent="0.2">
      <c r="A33" s="5">
        <v>41467</v>
      </c>
      <c r="B33" s="166" t="s">
        <v>228</v>
      </c>
      <c r="E33" t="s">
        <v>6</v>
      </c>
      <c r="F33" s="166" t="s">
        <v>229</v>
      </c>
    </row>
    <row r="34" spans="1:6" x14ac:dyDescent="0.2">
      <c r="A34" s="5">
        <v>41467</v>
      </c>
      <c r="B34" s="166" t="s">
        <v>228</v>
      </c>
      <c r="E34" t="s">
        <v>6</v>
      </c>
      <c r="F34" s="166" t="s">
        <v>230</v>
      </c>
    </row>
    <row r="35" spans="1:6" x14ac:dyDescent="0.2">
      <c r="A35" s="5">
        <v>41467</v>
      </c>
      <c r="B35" s="166" t="s">
        <v>228</v>
      </c>
      <c r="E35" t="s">
        <v>6</v>
      </c>
      <c r="F35" s="166" t="s">
        <v>234</v>
      </c>
    </row>
    <row r="37" spans="1:6" x14ac:dyDescent="0.2">
      <c r="A37" s="5">
        <v>41488</v>
      </c>
      <c r="B37" s="166" t="s">
        <v>232</v>
      </c>
      <c r="E37" t="s">
        <v>6</v>
      </c>
      <c r="F37" s="166" t="s">
        <v>236</v>
      </c>
    </row>
    <row r="38" spans="1:6" x14ac:dyDescent="0.2">
      <c r="A38" s="5">
        <v>41488</v>
      </c>
      <c r="B38" s="166" t="s">
        <v>232</v>
      </c>
      <c r="E38" t="s">
        <v>6</v>
      </c>
      <c r="F38" s="166" t="s">
        <v>233</v>
      </c>
    </row>
    <row r="39" spans="1:6" x14ac:dyDescent="0.2">
      <c r="A39" s="5">
        <v>41488</v>
      </c>
      <c r="B39" s="166" t="s">
        <v>232</v>
      </c>
      <c r="E39" t="s">
        <v>6</v>
      </c>
      <c r="F39" s="166" t="s">
        <v>238</v>
      </c>
    </row>
    <row r="40" spans="1:6" x14ac:dyDescent="0.2">
      <c r="A40" s="5">
        <v>41488</v>
      </c>
      <c r="B40" s="166" t="s">
        <v>232</v>
      </c>
      <c r="E40" t="s">
        <v>6</v>
      </c>
      <c r="F40" s="166" t="s">
        <v>239</v>
      </c>
    </row>
    <row r="41" spans="1:6" x14ac:dyDescent="0.2">
      <c r="A41" s="5">
        <v>41488</v>
      </c>
      <c r="B41" s="166" t="s">
        <v>232</v>
      </c>
      <c r="E41" t="s">
        <v>6</v>
      </c>
      <c r="F41" s="166" t="s">
        <v>240</v>
      </c>
    </row>
    <row r="42" spans="1:6" x14ac:dyDescent="0.2">
      <c r="A42" s="5">
        <v>41488</v>
      </c>
      <c r="B42" s="166" t="s">
        <v>232</v>
      </c>
      <c r="E42" t="s">
        <v>6</v>
      </c>
      <c r="F42" s="166" t="s">
        <v>241</v>
      </c>
    </row>
    <row r="44" spans="1:6" x14ac:dyDescent="0.2">
      <c r="A44" s="5">
        <v>41505</v>
      </c>
      <c r="B44" s="166" t="s">
        <v>242</v>
      </c>
      <c r="E44" t="s">
        <v>6</v>
      </c>
      <c r="F44" s="166" t="s">
        <v>245</v>
      </c>
    </row>
    <row r="45" spans="1:6" x14ac:dyDescent="0.2">
      <c r="A45" s="5">
        <v>41505</v>
      </c>
      <c r="B45" s="166" t="s">
        <v>242</v>
      </c>
      <c r="E45" t="s">
        <v>6</v>
      </c>
      <c r="F45" s="166" t="s">
        <v>246</v>
      </c>
    </row>
    <row r="46" spans="1:6" x14ac:dyDescent="0.2">
      <c r="A46" s="5">
        <v>41505</v>
      </c>
      <c r="B46" s="166" t="s">
        <v>242</v>
      </c>
      <c r="E46" t="s">
        <v>6</v>
      </c>
      <c r="F46" s="166" t="s">
        <v>244</v>
      </c>
    </row>
    <row r="47" spans="1:6" x14ac:dyDescent="0.2">
      <c r="A47" s="5"/>
      <c r="B47" s="166"/>
      <c r="F47" s="166"/>
    </row>
    <row r="49" spans="1:11" x14ac:dyDescent="0.2">
      <c r="A49" s="5">
        <v>41506</v>
      </c>
      <c r="B49" s="166" t="s">
        <v>250</v>
      </c>
      <c r="E49" t="s">
        <v>6</v>
      </c>
      <c r="F49" s="166" t="s">
        <v>248</v>
      </c>
    </row>
    <row r="50" spans="1:11" x14ac:dyDescent="0.2">
      <c r="A50" s="5">
        <v>41506</v>
      </c>
      <c r="B50" s="166" t="s">
        <v>250</v>
      </c>
      <c r="E50" t="s">
        <v>6</v>
      </c>
      <c r="F50" s="166" t="s">
        <v>251</v>
      </c>
    </row>
    <row r="51" spans="1:11" x14ac:dyDescent="0.2">
      <c r="A51" s="5">
        <v>41506</v>
      </c>
      <c r="B51" s="166" t="s">
        <v>250</v>
      </c>
      <c r="E51" t="s">
        <v>6</v>
      </c>
      <c r="F51" s="166" t="s">
        <v>252</v>
      </c>
    </row>
    <row r="53" spans="1:11" x14ac:dyDescent="0.2">
      <c r="A53" s="5">
        <v>41535</v>
      </c>
      <c r="B53" s="166" t="s">
        <v>253</v>
      </c>
      <c r="E53" t="s">
        <v>6</v>
      </c>
      <c r="F53" s="166" t="s">
        <v>254</v>
      </c>
    </row>
    <row r="54" spans="1:11" x14ac:dyDescent="0.2">
      <c r="A54" s="5">
        <v>41535</v>
      </c>
      <c r="B54" s="166" t="s">
        <v>253</v>
      </c>
      <c r="E54" t="s">
        <v>6</v>
      </c>
      <c r="F54" s="166" t="s">
        <v>255</v>
      </c>
    </row>
    <row r="55" spans="1:11" x14ac:dyDescent="0.2">
      <c r="A55" s="5">
        <v>41535</v>
      </c>
      <c r="B55" s="166" t="s">
        <v>253</v>
      </c>
      <c r="E55" t="s">
        <v>6</v>
      </c>
      <c r="F55" s="166" t="s">
        <v>314</v>
      </c>
    </row>
    <row r="56" spans="1:11" x14ac:dyDescent="0.2">
      <c r="A56" s="5">
        <v>41535</v>
      </c>
      <c r="B56" s="166" t="s">
        <v>253</v>
      </c>
      <c r="E56" t="s">
        <v>6</v>
      </c>
      <c r="F56" s="166" t="s">
        <v>256</v>
      </c>
    </row>
    <row r="57" spans="1:11" x14ac:dyDescent="0.2">
      <c r="A57" s="5">
        <v>41535</v>
      </c>
      <c r="B57" s="166" t="s">
        <v>253</v>
      </c>
      <c r="E57" t="s">
        <v>6</v>
      </c>
      <c r="F57" s="166" t="s">
        <v>315</v>
      </c>
    </row>
    <row r="59" spans="1:11" x14ac:dyDescent="0.2">
      <c r="A59" s="5">
        <v>41541</v>
      </c>
      <c r="B59" s="166" t="s">
        <v>258</v>
      </c>
      <c r="E59" t="s">
        <v>6</v>
      </c>
      <c r="F59" s="166" t="s">
        <v>259</v>
      </c>
    </row>
    <row r="60" spans="1:11" x14ac:dyDescent="0.2">
      <c r="A60" s="5">
        <v>41541</v>
      </c>
      <c r="B60" s="166" t="s">
        <v>258</v>
      </c>
      <c r="E60" t="s">
        <v>6</v>
      </c>
      <c r="F60" s="166" t="s">
        <v>260</v>
      </c>
    </row>
    <row r="61" spans="1:11" x14ac:dyDescent="0.2">
      <c r="A61" s="5">
        <v>41541</v>
      </c>
      <c r="B61" s="166" t="s">
        <v>258</v>
      </c>
      <c r="E61" t="s">
        <v>6</v>
      </c>
      <c r="F61" s="166" t="s">
        <v>261</v>
      </c>
    </row>
    <row r="63" spans="1:11" x14ac:dyDescent="0.2">
      <c r="A63" s="5">
        <v>41548</v>
      </c>
      <c r="B63" s="166" t="s">
        <v>262</v>
      </c>
      <c r="E63" t="s">
        <v>6</v>
      </c>
      <c r="F63" s="166" t="s">
        <v>264</v>
      </c>
    </row>
    <row r="64" spans="1:11" x14ac:dyDescent="0.2">
      <c r="F64" s="166" t="s">
        <v>265</v>
      </c>
      <c r="K64" s="166" t="s">
        <v>266</v>
      </c>
    </row>
    <row r="65" spans="1:13" ht="15" x14ac:dyDescent="0.25">
      <c r="E65" s="191" t="s">
        <v>267</v>
      </c>
      <c r="F65" s="192">
        <v>20.3</v>
      </c>
      <c r="G65" s="185">
        <f>ROUND(F66-INT(F66),10)</f>
        <v>0.6</v>
      </c>
      <c r="H65" s="185">
        <f>CEILING(G65*'Estimate Pg 1'!$AF$2,1)/'Estimate Pg 1'!$AF$2</f>
        <v>1</v>
      </c>
      <c r="I65" s="186">
        <f>FLOOR(G65*'Estimate Pg 1'!$AF$2,1)/'Estimate Pg 1'!$AF$2</f>
        <v>0</v>
      </c>
      <c r="K65" s="41">
        <f>F65</f>
        <v>20.3</v>
      </c>
      <c r="L65" s="159">
        <f>ROUND('Estimate Pg 1'!$AF$2*12*(K65-INT(K65)),0)/'Estimate Pg 1'!$AF$2</f>
        <v>4</v>
      </c>
      <c r="M65" s="186"/>
    </row>
    <row r="66" spans="1:13" ht="15" x14ac:dyDescent="0.25">
      <c r="F66" s="46">
        <f>ROUND(ABS((F65-INT(F65))*12),10)</f>
        <v>3.6</v>
      </c>
      <c r="G66" s="187">
        <f>IF(H65-G65&gt;=I65-G65,H65,I65)*'Estimate Pg 1'!$AK$9</f>
        <v>128</v>
      </c>
      <c r="H66" s="47" t="str">
        <f>TEXT(TRUNC(ABS(F65)),"#,##0")&amp;"'-"&amp;TEXT(TRUNC(F66),"0")&amp;VLOOKUP(G66,inches,3)</f>
        <v>20'-3"</v>
      </c>
      <c r="I66" s="48" t="str">
        <f>IF(F65=0,"0''",IF(F65&lt;0,"-","")&amp;IF(TRUNC(ABS(F65))=0,"",TEXT(TRUNC(ABS(F65)),"#,##0")&amp;"'-")&amp;IF(AND(F65&lt;1,F66&lt;1),"",TEXT(TRUNC(F66),"0"))&amp;VLOOKUP(G66,inches,3))</f>
        <v>20'-3"</v>
      </c>
      <c r="K66" s="189">
        <f>(L65-INT(L65))*'Estimate Pg 1'!$AK$9</f>
        <v>0</v>
      </c>
      <c r="L66" s="47" t="str">
        <f>TEXT(TRUNC(ABS(K65)),"#,##0")&amp;"'-"&amp;TEXT(TRUNC(L65),"0")&amp;VLOOKUP(K66,inches,3)</f>
        <v>20'-4"</v>
      </c>
      <c r="M66" s="48" t="str">
        <f>IF(K65=0,"0''",IF(K65&lt;0,"-","")&amp;IF(TRUNC(ABS(K65))=0,"",TEXT(TRUNC(ABS(K65)),"#,##0")&amp;"'-")&amp;IF(AND(K65&lt;1,L65&lt;1),"",TEXT(TRUNC(L65),"0"))&amp;VLOOKUP(K66,inches,3))</f>
        <v>20'-4"</v>
      </c>
    </row>
    <row r="68" spans="1:13" x14ac:dyDescent="0.2">
      <c r="A68" s="5">
        <v>41548</v>
      </c>
      <c r="B68" s="166" t="s">
        <v>262</v>
      </c>
      <c r="E68" t="s">
        <v>6</v>
      </c>
      <c r="F68" s="166" t="s">
        <v>268</v>
      </c>
    </row>
    <row r="70" spans="1:13" x14ac:dyDescent="0.2">
      <c r="A70" s="5">
        <v>41554</v>
      </c>
      <c r="B70" s="166" t="s">
        <v>271</v>
      </c>
      <c r="E70" t="s">
        <v>6</v>
      </c>
      <c r="F70" s="166" t="s">
        <v>270</v>
      </c>
    </row>
    <row r="71" spans="1:13" x14ac:dyDescent="0.2">
      <c r="A71" s="5">
        <v>41554</v>
      </c>
      <c r="B71" s="166" t="s">
        <v>271</v>
      </c>
      <c r="E71" t="s">
        <v>6</v>
      </c>
      <c r="F71" s="166" t="s">
        <v>272</v>
      </c>
    </row>
    <row r="73" spans="1:13" x14ac:dyDescent="0.2">
      <c r="A73" s="5">
        <v>41591</v>
      </c>
      <c r="B73" s="166" t="s">
        <v>274</v>
      </c>
      <c r="E73" t="s">
        <v>6</v>
      </c>
      <c r="F73" s="166" t="s">
        <v>275</v>
      </c>
    </row>
    <row r="75" spans="1:13" x14ac:dyDescent="0.2">
      <c r="A75" s="5">
        <v>41949</v>
      </c>
      <c r="B75" s="166" t="s">
        <v>277</v>
      </c>
      <c r="E75" t="s">
        <v>6</v>
      </c>
      <c r="F75" s="166" t="s">
        <v>278</v>
      </c>
    </row>
    <row r="76" spans="1:13" x14ac:dyDescent="0.2">
      <c r="A76" s="5">
        <v>41949</v>
      </c>
      <c r="B76" s="166" t="s">
        <v>277</v>
      </c>
      <c r="E76" t="s">
        <v>6</v>
      </c>
      <c r="F76" s="166" t="s">
        <v>280</v>
      </c>
    </row>
    <row r="77" spans="1:13" x14ac:dyDescent="0.2">
      <c r="A77" s="5">
        <v>41949</v>
      </c>
      <c r="B77" s="166" t="s">
        <v>277</v>
      </c>
      <c r="E77" t="s">
        <v>6</v>
      </c>
      <c r="F77" s="166" t="s">
        <v>287</v>
      </c>
    </row>
    <row r="78" spans="1:13" x14ac:dyDescent="0.2">
      <c r="A78" s="5">
        <v>41949</v>
      </c>
      <c r="B78" s="166" t="s">
        <v>277</v>
      </c>
      <c r="E78" t="s">
        <v>6</v>
      </c>
      <c r="F78" s="166" t="s">
        <v>293</v>
      </c>
    </row>
    <row r="79" spans="1:13" x14ac:dyDescent="0.2">
      <c r="A79" s="5">
        <v>41949</v>
      </c>
      <c r="B79" s="166" t="s">
        <v>277</v>
      </c>
      <c r="E79" t="s">
        <v>6</v>
      </c>
      <c r="F79" s="166" t="s">
        <v>309</v>
      </c>
    </row>
    <row r="80" spans="1:13" x14ac:dyDescent="0.2">
      <c r="A80" s="5">
        <v>41949</v>
      </c>
      <c r="B80" s="166" t="s">
        <v>277</v>
      </c>
      <c r="E80" t="s">
        <v>6</v>
      </c>
      <c r="F80" s="166" t="s">
        <v>310</v>
      </c>
    </row>
    <row r="82" spans="1:6" x14ac:dyDescent="0.2">
      <c r="A82" s="5">
        <v>42142</v>
      </c>
      <c r="B82" s="166" t="s">
        <v>312</v>
      </c>
      <c r="E82" t="s">
        <v>6</v>
      </c>
      <c r="F82" s="166" t="s">
        <v>313</v>
      </c>
    </row>
    <row r="83" spans="1:6" x14ac:dyDescent="0.2">
      <c r="A83" s="5">
        <v>42142</v>
      </c>
      <c r="B83" s="166" t="s">
        <v>312</v>
      </c>
      <c r="E83" t="s">
        <v>6</v>
      </c>
      <c r="F83" s="166" t="s">
        <v>323</v>
      </c>
    </row>
    <row r="84" spans="1:6" x14ac:dyDescent="0.2">
      <c r="A84" s="5">
        <v>42142</v>
      </c>
      <c r="B84" s="166" t="s">
        <v>312</v>
      </c>
      <c r="E84" t="s">
        <v>6</v>
      </c>
      <c r="F84" s="166" t="s">
        <v>324</v>
      </c>
    </row>
    <row r="85" spans="1:6" x14ac:dyDescent="0.2">
      <c r="A85" s="5">
        <v>42142</v>
      </c>
      <c r="B85" s="166" t="s">
        <v>312</v>
      </c>
      <c r="E85" t="s">
        <v>6</v>
      </c>
      <c r="F85" s="166" t="s">
        <v>325</v>
      </c>
    </row>
    <row r="86" spans="1:6" x14ac:dyDescent="0.2">
      <c r="A86" s="5">
        <v>42142</v>
      </c>
      <c r="B86" s="166" t="s">
        <v>312</v>
      </c>
      <c r="E86" t="s">
        <v>6</v>
      </c>
      <c r="F86" s="166" t="s">
        <v>326</v>
      </c>
    </row>
    <row r="87" spans="1:6" x14ac:dyDescent="0.2">
      <c r="A87" s="5">
        <v>42142</v>
      </c>
      <c r="B87" s="166" t="s">
        <v>312</v>
      </c>
      <c r="E87" t="s">
        <v>6</v>
      </c>
      <c r="F87" s="166" t="s">
        <v>333</v>
      </c>
    </row>
    <row r="89" spans="1:6" x14ac:dyDescent="0.2">
      <c r="A89" s="5">
        <v>42262</v>
      </c>
      <c r="B89" s="166" t="s">
        <v>335</v>
      </c>
      <c r="E89" t="s">
        <v>6</v>
      </c>
      <c r="F89" s="166" t="s">
        <v>336</v>
      </c>
    </row>
    <row r="90" spans="1:6" x14ac:dyDescent="0.2">
      <c r="A90" s="5">
        <v>42283</v>
      </c>
      <c r="B90" s="166" t="s">
        <v>335</v>
      </c>
      <c r="E90" t="s">
        <v>6</v>
      </c>
      <c r="F90" s="166" t="s">
        <v>340</v>
      </c>
    </row>
    <row r="91" spans="1:6" x14ac:dyDescent="0.2">
      <c r="A91" s="5">
        <v>42283</v>
      </c>
      <c r="B91" s="166" t="s">
        <v>335</v>
      </c>
      <c r="E91" t="s">
        <v>6</v>
      </c>
      <c r="F91" s="166" t="s">
        <v>346</v>
      </c>
    </row>
    <row r="93" spans="1:6" x14ac:dyDescent="0.2">
      <c r="A93" s="5">
        <v>42314</v>
      </c>
      <c r="B93" s="166" t="s">
        <v>347</v>
      </c>
      <c r="E93" t="s">
        <v>6</v>
      </c>
      <c r="F93" s="166" t="s">
        <v>348</v>
      </c>
    </row>
    <row r="94" spans="1:6" x14ac:dyDescent="0.2">
      <c r="A94" s="5">
        <v>42314</v>
      </c>
      <c r="B94" s="166" t="s">
        <v>347</v>
      </c>
      <c r="E94" t="s">
        <v>6</v>
      </c>
      <c r="F94" s="166" t="s">
        <v>352</v>
      </c>
    </row>
    <row r="95" spans="1:6" x14ac:dyDescent="0.2">
      <c r="A95" s="5">
        <v>42314</v>
      </c>
      <c r="B95" s="166" t="s">
        <v>347</v>
      </c>
      <c r="E95" t="s">
        <v>6</v>
      </c>
      <c r="F95" s="166" t="s">
        <v>354</v>
      </c>
    </row>
  </sheetData>
  <sheetProtection sheet="1" objects="1" scenarios="1"/>
  <phoneticPr fontId="0"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CV306"/>
  <sheetViews>
    <sheetView tabSelected="1" zoomScale="105" zoomScaleNormal="105" zoomScaleSheetLayoutView="100" workbookViewId="0">
      <selection activeCell="R7" sqref="R7"/>
    </sheetView>
  </sheetViews>
  <sheetFormatPr defaultRowHeight="12.75" x14ac:dyDescent="0.2"/>
  <cols>
    <col min="1" max="1" width="2" customWidth="1"/>
    <col min="2" max="2" width="0.85546875" customWidth="1"/>
    <col min="3" max="3" width="4.7109375" customWidth="1"/>
    <col min="4" max="4" width="8.7109375" customWidth="1"/>
    <col min="5" max="5" width="10.7109375" customWidth="1"/>
    <col min="6" max="6" width="11.7109375" customWidth="1"/>
    <col min="7" max="7" width="7.28515625" customWidth="1"/>
    <col min="8" max="8" width="8" customWidth="1"/>
    <col min="9" max="9" width="11.140625" customWidth="1"/>
    <col min="10" max="10" width="6.7109375" customWidth="1"/>
    <col min="11" max="11" width="8.42578125" customWidth="1"/>
    <col min="12" max="12" width="7.5703125" customWidth="1"/>
    <col min="13" max="13" width="3.140625" customWidth="1"/>
    <col min="14" max="14" width="7.5703125" customWidth="1"/>
    <col min="15" max="15" width="0.85546875" customWidth="1"/>
    <col min="16" max="16" width="2.28515625" style="180" customWidth="1"/>
    <col min="17" max="17" width="19" customWidth="1"/>
    <col min="18" max="18" width="15.7109375" customWidth="1"/>
    <col min="19" max="19" width="15.5703125" customWidth="1"/>
    <col min="20" max="20" width="11.7109375" customWidth="1"/>
    <col min="21" max="22" width="3.5703125" customWidth="1"/>
    <col min="23" max="23" width="8.85546875" customWidth="1"/>
    <col min="24" max="24" width="12.28515625" customWidth="1"/>
    <col min="25" max="26" width="11.7109375" customWidth="1"/>
    <col min="27" max="27" width="15.28515625" customWidth="1"/>
    <col min="28" max="31" width="11.7109375" customWidth="1"/>
    <col min="32" max="32" width="24.7109375" customWidth="1"/>
    <col min="33" max="37" width="11.7109375" customWidth="1"/>
  </cols>
  <sheetData>
    <row r="1" spans="1:100" ht="22.5" customHeight="1" x14ac:dyDescent="0.3">
      <c r="A1" s="13"/>
      <c r="B1" s="14"/>
      <c r="C1" s="231" t="s">
        <v>8</v>
      </c>
      <c r="D1" s="231"/>
      <c r="E1" s="231"/>
      <c r="F1" s="231"/>
      <c r="G1" s="231"/>
      <c r="H1" s="231"/>
      <c r="I1" s="231"/>
      <c r="J1" s="231"/>
      <c r="K1" s="231"/>
      <c r="L1" s="231"/>
      <c r="M1" s="231"/>
      <c r="N1" s="231"/>
      <c r="O1" s="15"/>
      <c r="P1" s="30"/>
      <c r="Q1" s="36"/>
      <c r="R1" s="235" t="str">
        <f>IF(AE81="","",AD81&amp;". "&amp;AE81&amp;CHAR(10))&amp;
IF(AE82="","",AD82&amp;". "&amp;AE82&amp;CHAR(10))&amp;
IF(AE83="","",AD83&amp;". "&amp;AE83&amp;CHAR(10))&amp;
IF(AE84="","",AD84&amp;". "&amp;AE84)</f>
        <v xml:space="preserve">1. ***  Proposed FOR to FOR width = 24'.  Existing Bridge width = 25'.  Check Input!  ***
</v>
      </c>
      <c r="S1" s="236"/>
      <c r="T1" s="236"/>
      <c r="U1" s="236"/>
      <c r="V1" s="236"/>
      <c r="W1" s="236"/>
      <c r="X1" s="237"/>
      <c r="Y1" s="33"/>
      <c r="Z1" s="33"/>
      <c r="AA1" s="11"/>
      <c r="AB1" s="33"/>
      <c r="AC1" s="33"/>
      <c r="AD1" s="33"/>
      <c r="AE1" s="34" t="s">
        <v>49</v>
      </c>
      <c r="AF1" s="35" t="s">
        <v>67</v>
      </c>
      <c r="AG1" s="33"/>
      <c r="AH1" s="159">
        <f>ROUND(AA11*12,0)/12</f>
        <v>0</v>
      </c>
      <c r="AI1" s="185">
        <f>ROUND(AH2-INT(AH2),10)</f>
        <v>0</v>
      </c>
      <c r="AJ1" s="185">
        <f>CEILING(AI1*$AF$2,1)/$AF$2</f>
        <v>0</v>
      </c>
      <c r="AK1" s="186">
        <f>FLOOR(AI1*$AF$2,1)/$AF$2</f>
        <v>0</v>
      </c>
      <c r="AL1" s="36"/>
      <c r="AP1" s="1"/>
    </row>
    <row r="2" spans="1:100" ht="12.75" customHeight="1" x14ac:dyDescent="0.25">
      <c r="A2" s="13"/>
      <c r="B2" s="14"/>
      <c r="C2" s="232" t="s">
        <v>9</v>
      </c>
      <c r="D2" s="232"/>
      <c r="E2" s="232"/>
      <c r="F2" s="232"/>
      <c r="G2" s="232"/>
      <c r="H2" s="232"/>
      <c r="I2" s="232"/>
      <c r="J2" s="232"/>
      <c r="K2" s="232"/>
      <c r="L2" s="232"/>
      <c r="M2" s="232"/>
      <c r="N2" s="232"/>
      <c r="O2" s="15"/>
      <c r="P2" s="30"/>
      <c r="Q2" s="172" t="s">
        <v>174</v>
      </c>
      <c r="R2" s="238"/>
      <c r="S2" s="239"/>
      <c r="T2" s="239"/>
      <c r="U2" s="239"/>
      <c r="V2" s="239"/>
      <c r="W2" s="239"/>
      <c r="X2" s="240"/>
      <c r="Y2" s="33"/>
      <c r="Z2" s="33"/>
      <c r="AA2" s="12"/>
      <c r="AB2" s="33"/>
      <c r="AC2" s="33"/>
      <c r="AD2" s="33"/>
      <c r="AE2" s="37"/>
      <c r="AF2" s="38">
        <v>1</v>
      </c>
      <c r="AG2" s="33"/>
      <c r="AH2" s="160">
        <f>ROUND(ABS((AH1-INT(AH1))*12),10)</f>
        <v>0</v>
      </c>
      <c r="AI2" s="187">
        <f>IF(AJ1-AI1&gt;=AK1-AI1,AJ1,AK1)*$AK$9</f>
        <v>0</v>
      </c>
      <c r="AJ2" s="47" t="str">
        <f>TEXT(TRUNC(ABS(AH1)),"#,##0")&amp;"'-"&amp;TEXT(TRUNC(AH2),"0")&amp;VLOOKUP(AI2,inches,3)</f>
        <v>0'-0"</v>
      </c>
      <c r="AK2" s="48" t="str">
        <f>IF(AH1=0,"0''",IF(AH1&lt;0,"-","")&amp;IF(TRUNC(ABS(AH1))=0,"",TEXT(TRUNC(ABS(AH1)),"#,##0")&amp;"'-")&amp;IF(AND(AH1&lt;1,AH2&lt;1),"",TEXT(TRUNC(AH2),"0"))&amp;VLOOKUP(AI2,inches,3))</f>
        <v>0''</v>
      </c>
      <c r="AL2" s="36"/>
      <c r="AP2" s="1"/>
    </row>
    <row r="3" spans="1:100" ht="12.75" customHeight="1" x14ac:dyDescent="0.25">
      <c r="A3" s="13"/>
      <c r="B3" s="14"/>
      <c r="C3" s="16"/>
      <c r="D3" s="16"/>
      <c r="E3" s="17"/>
      <c r="F3" s="17"/>
      <c r="G3" s="17"/>
      <c r="H3" s="17"/>
      <c r="I3" s="18"/>
      <c r="J3" s="19"/>
      <c r="K3" s="19"/>
      <c r="L3" s="19"/>
      <c r="M3" s="19"/>
      <c r="N3" s="20"/>
      <c r="O3" s="15"/>
      <c r="P3" s="30"/>
      <c r="Q3" s="173"/>
      <c r="R3" s="238"/>
      <c r="S3" s="239"/>
      <c r="T3" s="239"/>
      <c r="U3" s="239"/>
      <c r="V3" s="239"/>
      <c r="W3" s="239"/>
      <c r="X3" s="240"/>
      <c r="Y3" s="33"/>
      <c r="Z3" s="33"/>
      <c r="AA3" s="12"/>
      <c r="AB3" s="33"/>
      <c r="AC3" s="33"/>
      <c r="AD3" s="33"/>
      <c r="AE3" s="33"/>
      <c r="AF3" s="33"/>
      <c r="AG3" s="33"/>
      <c r="AH3" s="33"/>
      <c r="AI3" s="33"/>
      <c r="AJ3" s="33"/>
      <c r="AK3" s="33"/>
      <c r="AL3" s="36"/>
      <c r="AP3" s="3"/>
      <c r="BN3" s="2"/>
      <c r="BO3" s="2"/>
      <c r="BP3" s="2"/>
      <c r="BQ3" s="230"/>
      <c r="BR3" s="230"/>
      <c r="BS3" s="230"/>
      <c r="BT3" s="230"/>
      <c r="BU3" s="230"/>
      <c r="BV3" s="230"/>
      <c r="BW3" s="230"/>
      <c r="BX3" s="230"/>
      <c r="BY3" s="230"/>
      <c r="BZ3" s="230"/>
      <c r="CA3" s="230"/>
      <c r="CB3" s="230"/>
      <c r="CC3" s="230"/>
      <c r="CD3" s="230"/>
      <c r="CE3" s="230"/>
      <c r="CF3" s="230"/>
      <c r="CG3" s="2"/>
      <c r="CH3" s="2"/>
      <c r="CI3" s="2"/>
      <c r="CJ3" s="2"/>
      <c r="CK3" s="2"/>
      <c r="CL3" s="2"/>
      <c r="CM3" s="2"/>
      <c r="CN3" s="2"/>
      <c r="CO3" s="2"/>
      <c r="CP3" s="2"/>
      <c r="CQ3" s="2"/>
      <c r="CR3" s="2"/>
      <c r="CS3" s="2"/>
      <c r="CT3" s="2"/>
      <c r="CU3" s="2"/>
      <c r="CV3" s="2"/>
    </row>
    <row r="4" spans="1:100" ht="5.0999999999999996" customHeight="1" x14ac:dyDescent="0.25">
      <c r="A4" s="13"/>
      <c r="B4" s="14"/>
      <c r="C4" s="21"/>
      <c r="D4" s="21"/>
      <c r="E4" s="22"/>
      <c r="F4" s="22"/>
      <c r="G4" s="22"/>
      <c r="H4" s="22"/>
      <c r="I4" s="23"/>
      <c r="J4" s="24"/>
      <c r="K4" s="24"/>
      <c r="L4" s="24"/>
      <c r="M4" s="24"/>
      <c r="N4" s="25"/>
      <c r="O4" s="15"/>
      <c r="P4" s="30"/>
      <c r="Q4" s="173"/>
      <c r="R4" s="238"/>
      <c r="S4" s="239"/>
      <c r="T4" s="239"/>
      <c r="U4" s="239"/>
      <c r="V4" s="239"/>
      <c r="W4" s="239"/>
      <c r="X4" s="240"/>
      <c r="Y4" s="33"/>
      <c r="Z4" s="33"/>
      <c r="AA4" s="33"/>
      <c r="AB4" s="33"/>
      <c r="AC4" s="33"/>
      <c r="AD4" s="33"/>
      <c r="AE4" s="33"/>
      <c r="AF4" s="33"/>
      <c r="AG4" s="33"/>
      <c r="AH4" s="33"/>
      <c r="AI4" s="33"/>
      <c r="AJ4" s="33"/>
      <c r="AK4" s="33"/>
      <c r="AL4" s="36"/>
      <c r="AP4" s="3"/>
      <c r="BN4" s="2"/>
      <c r="BO4" s="2"/>
      <c r="BP4" s="2"/>
      <c r="BQ4" s="1"/>
      <c r="BR4" s="1"/>
      <c r="BS4" s="1"/>
      <c r="BT4" s="1"/>
      <c r="BU4" s="1"/>
      <c r="BV4" s="1"/>
      <c r="BW4" s="1"/>
      <c r="BX4" s="1"/>
      <c r="BY4" s="1"/>
      <c r="BZ4" s="1"/>
      <c r="CA4" s="1"/>
      <c r="CB4" s="1"/>
      <c r="CC4" s="1"/>
      <c r="CD4" s="1"/>
      <c r="CE4" s="1"/>
      <c r="CF4" s="1"/>
      <c r="CG4" s="2"/>
      <c r="CH4" s="2"/>
      <c r="CI4" s="2"/>
      <c r="CJ4" s="2"/>
      <c r="CK4" s="2"/>
      <c r="CL4" s="2"/>
      <c r="CM4" s="2"/>
      <c r="CN4" s="2"/>
      <c r="CO4" s="2"/>
      <c r="CP4" s="2"/>
      <c r="CQ4" s="2"/>
      <c r="CR4" s="2"/>
      <c r="CS4" s="2"/>
      <c r="CT4" s="2"/>
      <c r="CU4" s="2"/>
      <c r="CV4" s="2"/>
    </row>
    <row r="5" spans="1:100" ht="12.75" customHeight="1" x14ac:dyDescent="0.25">
      <c r="A5" s="13"/>
      <c r="B5" s="13"/>
      <c r="C5" s="26"/>
      <c r="D5" s="26"/>
      <c r="E5" s="27"/>
      <c r="F5" s="27"/>
      <c r="G5" s="27"/>
      <c r="H5" s="27"/>
      <c r="I5" s="28"/>
      <c r="J5" s="29"/>
      <c r="K5" s="29"/>
      <c r="L5" s="29"/>
      <c r="M5" s="29"/>
      <c r="N5" s="30"/>
      <c r="O5" s="31"/>
      <c r="P5" s="30"/>
      <c r="Q5" s="173"/>
      <c r="R5" s="238"/>
      <c r="S5" s="239"/>
      <c r="T5" s="239"/>
      <c r="U5" s="239"/>
      <c r="V5" s="239"/>
      <c r="W5" s="239"/>
      <c r="X5" s="240"/>
      <c r="Y5" s="33"/>
      <c r="Z5" s="36"/>
      <c r="AA5" s="36"/>
      <c r="AB5" s="33"/>
      <c r="AC5" s="33"/>
      <c r="AD5" s="33"/>
      <c r="AE5" s="33"/>
      <c r="AF5" s="33"/>
      <c r="AG5" s="33"/>
      <c r="AH5" s="33"/>
      <c r="AI5" s="33"/>
      <c r="AJ5" s="33"/>
      <c r="AK5" s="33"/>
      <c r="AL5" s="36"/>
      <c r="AP5" s="3"/>
      <c r="BN5" s="2"/>
      <c r="BO5" s="2"/>
      <c r="BP5" s="2"/>
      <c r="BQ5" s="1"/>
      <c r="BR5" s="1"/>
      <c r="BS5" s="1"/>
      <c r="BT5" s="1"/>
      <c r="BU5" s="1"/>
      <c r="BV5" s="1"/>
      <c r="BW5" s="1"/>
      <c r="BX5" s="1"/>
      <c r="BY5" s="1"/>
      <c r="BZ5" s="1"/>
      <c r="CA5" s="1"/>
      <c r="CB5" s="1"/>
      <c r="CC5" s="1"/>
      <c r="CD5" s="1"/>
      <c r="CE5" s="1"/>
      <c r="CF5" s="1"/>
      <c r="CG5" s="2"/>
      <c r="CH5" s="2"/>
      <c r="CI5" s="2"/>
      <c r="CJ5" s="2"/>
      <c r="CK5" s="2"/>
      <c r="CL5" s="2"/>
      <c r="CM5" s="2"/>
      <c r="CN5" s="2"/>
      <c r="CO5" s="2"/>
      <c r="CP5" s="2"/>
      <c r="CQ5" s="2"/>
      <c r="CR5" s="2"/>
      <c r="CS5" s="2"/>
      <c r="CT5" s="2"/>
      <c r="CU5" s="2"/>
      <c r="CV5" s="2"/>
    </row>
    <row r="6" spans="1:100" ht="5.0999999999999996" customHeight="1" x14ac:dyDescent="0.25">
      <c r="A6" s="13"/>
      <c r="B6" s="14"/>
      <c r="C6" s="21"/>
      <c r="D6" s="21"/>
      <c r="E6" s="22"/>
      <c r="F6" s="22"/>
      <c r="G6" s="22"/>
      <c r="H6" s="22"/>
      <c r="I6" s="23"/>
      <c r="J6" s="24"/>
      <c r="K6" s="24"/>
      <c r="L6" s="24"/>
      <c r="M6" s="24"/>
      <c r="N6" s="25"/>
      <c r="O6" s="15"/>
      <c r="P6" s="30"/>
      <c r="Q6" s="174"/>
      <c r="R6" s="241"/>
      <c r="S6" s="242"/>
      <c r="T6" s="242"/>
      <c r="U6" s="242"/>
      <c r="V6" s="242"/>
      <c r="W6" s="242"/>
      <c r="X6" s="243"/>
      <c r="Y6" s="33"/>
      <c r="Z6" s="36"/>
      <c r="AA6" s="36"/>
      <c r="AB6" s="33"/>
      <c r="AC6" s="33"/>
      <c r="AD6" s="33"/>
      <c r="AE6" s="33"/>
      <c r="AF6" s="33"/>
      <c r="AG6" s="33"/>
      <c r="AH6" s="33"/>
      <c r="AI6" s="33"/>
      <c r="AJ6" s="33"/>
      <c r="AK6" s="33"/>
      <c r="AL6" s="36"/>
      <c r="AP6" s="3"/>
      <c r="BN6" s="2"/>
      <c r="BO6" s="2"/>
      <c r="BP6" s="2"/>
      <c r="BQ6" s="1"/>
      <c r="BR6" s="1"/>
      <c r="BS6" s="1"/>
      <c r="BT6" s="1"/>
      <c r="BU6" s="1"/>
      <c r="BV6" s="1"/>
      <c r="BW6" s="1"/>
      <c r="BX6" s="1"/>
      <c r="BY6" s="1"/>
      <c r="BZ6" s="1"/>
      <c r="CA6" s="1"/>
      <c r="CB6" s="1"/>
      <c r="CC6" s="1"/>
      <c r="CD6" s="1"/>
      <c r="CE6" s="1"/>
      <c r="CF6" s="1"/>
      <c r="CG6" s="2"/>
      <c r="CH6" s="2"/>
      <c r="CI6" s="2"/>
      <c r="CJ6" s="2"/>
      <c r="CK6" s="2"/>
      <c r="CL6" s="2"/>
      <c r="CM6" s="2"/>
      <c r="CN6" s="2"/>
      <c r="CO6" s="2"/>
      <c r="CP6" s="2"/>
      <c r="CQ6" s="2"/>
      <c r="CR6" s="2"/>
      <c r="CS6" s="2"/>
      <c r="CT6" s="2"/>
      <c r="CU6" s="2"/>
      <c r="CV6" s="2"/>
    </row>
    <row r="7" spans="1:100" ht="14.1" customHeight="1" x14ac:dyDescent="0.25">
      <c r="A7" s="13"/>
      <c r="B7" s="14"/>
      <c r="C7" s="102" t="s">
        <v>10</v>
      </c>
      <c r="D7" s="102"/>
      <c r="E7" s="9" t="s">
        <v>334</v>
      </c>
      <c r="F7" s="9"/>
      <c r="G7" s="9"/>
      <c r="H7" s="9"/>
      <c r="I7" s="9"/>
      <c r="J7" s="9"/>
      <c r="K7" s="9"/>
      <c r="L7" s="245">
        <f>R7</f>
        <v>42352</v>
      </c>
      <c r="M7" s="245"/>
      <c r="N7" s="245"/>
      <c r="O7" s="32"/>
      <c r="P7" s="30"/>
      <c r="Q7" s="36" t="s">
        <v>1</v>
      </c>
      <c r="R7" s="39">
        <v>42352</v>
      </c>
      <c r="S7" s="234" t="str">
        <f ca="1">"Today is: "&amp;TEXT(NOW(),"mmmm d, yyyy")</f>
        <v>Today is: December 14, 2015</v>
      </c>
      <c r="T7" s="234"/>
      <c r="U7" s="33"/>
      <c r="V7" s="33"/>
      <c r="W7" s="33"/>
      <c r="X7" s="33"/>
      <c r="Y7" s="33"/>
      <c r="Z7" s="36"/>
      <c r="AA7" s="36"/>
      <c r="AB7" s="36"/>
      <c r="AC7" s="36"/>
      <c r="AD7" s="36"/>
      <c r="AE7" s="34" t="s">
        <v>68</v>
      </c>
      <c r="AF7" s="34"/>
      <c r="AG7" s="34"/>
      <c r="AH7" s="34"/>
      <c r="AI7" s="36"/>
      <c r="AJ7" s="36"/>
      <c r="AK7" s="36"/>
      <c r="AL7" s="36"/>
      <c r="AP7" s="3"/>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row>
    <row r="8" spans="1:100" ht="14.1" customHeight="1" x14ac:dyDescent="0.25">
      <c r="A8" s="13"/>
      <c r="B8" s="14"/>
      <c r="C8" s="9"/>
      <c r="D8" s="9"/>
      <c r="E8" s="9" t="s">
        <v>98</v>
      </c>
      <c r="F8" s="9"/>
      <c r="G8" s="9"/>
      <c r="H8" s="9"/>
      <c r="I8" s="9"/>
      <c r="J8" s="9"/>
      <c r="K8" s="9"/>
      <c r="L8" s="9"/>
      <c r="M8" s="9"/>
      <c r="N8" s="9"/>
      <c r="O8" s="32"/>
      <c r="P8" s="30"/>
      <c r="Q8" s="36" t="s">
        <v>231</v>
      </c>
      <c r="R8" s="58" t="s">
        <v>341</v>
      </c>
      <c r="S8" s="36"/>
      <c r="T8" s="36"/>
      <c r="U8" s="33"/>
      <c r="V8" s="36"/>
      <c r="W8" s="127" t="s">
        <v>279</v>
      </c>
      <c r="X8" s="198" t="s">
        <v>349</v>
      </c>
      <c r="Y8" s="36"/>
      <c r="Z8" s="36"/>
      <c r="AA8" s="36"/>
      <c r="AB8" s="36"/>
      <c r="AC8" s="36"/>
      <c r="AD8" s="36"/>
      <c r="AE8" s="41">
        <f>ROUND(X17*12,0)/12</f>
        <v>14</v>
      </c>
      <c r="AF8" s="159">
        <f>ROUND($AF$2*12*(AE8-INT(AE8)),0)/$AF$2</f>
        <v>0</v>
      </c>
      <c r="AG8" s="186"/>
      <c r="AH8" s="126"/>
      <c r="AI8" s="43" t="s">
        <v>46</v>
      </c>
      <c r="AJ8" s="44"/>
      <c r="AK8" s="44"/>
      <c r="AL8" s="45"/>
      <c r="AP8" s="3"/>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row>
    <row r="9" spans="1:100" ht="14.1" customHeight="1" x14ac:dyDescent="0.25">
      <c r="A9" s="13"/>
      <c r="B9" s="14"/>
      <c r="C9" s="9"/>
      <c r="D9" s="9"/>
      <c r="E9" s="103"/>
      <c r="F9" s="9"/>
      <c r="G9" s="9"/>
      <c r="H9" s="9"/>
      <c r="I9" s="9"/>
      <c r="J9" s="9"/>
      <c r="K9" s="9"/>
      <c r="L9" s="9"/>
      <c r="M9" s="9"/>
      <c r="N9" s="9"/>
      <c r="O9" s="32"/>
      <c r="P9" s="30"/>
      <c r="Q9" s="36"/>
      <c r="R9" s="40"/>
      <c r="S9" s="36"/>
      <c r="T9" s="36"/>
      <c r="U9" s="33"/>
      <c r="V9" s="33"/>
      <c r="W9" s="33"/>
      <c r="X9" s="36"/>
      <c r="Y9" s="36"/>
      <c r="Z9" s="36"/>
      <c r="AA9" s="36"/>
      <c r="AB9" s="36"/>
      <c r="AC9" s="36"/>
      <c r="AD9" s="36"/>
      <c r="AE9" s="189">
        <f>(AF8-INT(AF8))*$AK$9</f>
        <v>0</v>
      </c>
      <c r="AF9" s="47" t="str">
        <f>TEXT(TRUNC(ABS(AE8)),"#,##0")&amp;"'-"&amp;TEXT(TRUNC(AF8),"0")&amp;VLOOKUP(AE9,inches,3)</f>
        <v>14'-0"</v>
      </c>
      <c r="AG9" s="48" t="str">
        <f>IF(AE8=0,"0''",IF(AE8&lt;0,"-","")&amp;IF(TRUNC(ABS(AE8))=0,"",TEXT(TRUNC(ABS(AE8)),"#,##0")&amp;"'-")&amp;IF(AND(AE8&lt;1,AF8&lt;1),"",TEXT(TRUNC(AF8),"0"))&amp;VLOOKUP(AE9,inches,3))</f>
        <v>14'-0"</v>
      </c>
      <c r="AH9" s="126"/>
      <c r="AI9" s="44" t="s">
        <v>47</v>
      </c>
      <c r="AJ9" s="44"/>
      <c r="AK9" s="49">
        <v>128</v>
      </c>
      <c r="AL9" s="44" t="s">
        <v>48</v>
      </c>
      <c r="AP9" s="3"/>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row>
    <row r="10" spans="1:100" ht="14.1" customHeight="1" x14ac:dyDescent="0.25">
      <c r="A10" s="13"/>
      <c r="B10" s="14"/>
      <c r="C10" s="104" t="s">
        <v>11</v>
      </c>
      <c r="D10" s="104"/>
      <c r="E10" s="104" t="str">
        <f>IF(ISBLANK(R10),"-----",R10)&amp;IF(ISBLANK(R11),"",",  Br. No.:  "&amp;R11)</f>
        <v>Northwood,  Br. No.:  095/113</v>
      </c>
      <c r="H10" s="101"/>
      <c r="I10" s="101"/>
      <c r="J10" s="246" t="str">
        <f>IF(ISBLANK(R13),IF(ISBLANK(R14),"",R14),R13&amp;IF(R13="Not Redlisted",""," Redlist"&amp;IF(ISBLANK(T13),"",", #"&amp;T13)))</f>
        <v>Municipal Redlist</v>
      </c>
      <c r="K10" s="246"/>
      <c r="L10" s="246"/>
      <c r="M10" s="246"/>
      <c r="N10" s="246"/>
      <c r="O10" s="32"/>
      <c r="P10" s="30"/>
      <c r="Q10" s="36" t="s">
        <v>51</v>
      </c>
      <c r="R10" s="50" t="s">
        <v>350</v>
      </c>
      <c r="S10" s="36"/>
      <c r="T10" s="36"/>
      <c r="U10" s="205" t="s">
        <v>125</v>
      </c>
      <c r="V10" s="206"/>
      <c r="W10" s="209"/>
      <c r="X10" s="36"/>
      <c r="Y10" s="36"/>
      <c r="Z10" s="36"/>
      <c r="AA10" s="36"/>
      <c r="AB10" s="36"/>
      <c r="AC10" s="36"/>
      <c r="AD10" s="36"/>
      <c r="AE10" s="34" t="s">
        <v>69</v>
      </c>
      <c r="AF10" s="34"/>
      <c r="AG10" s="34"/>
      <c r="AH10" s="34"/>
      <c r="AI10" s="51">
        <v>0</v>
      </c>
      <c r="AJ10" s="52">
        <v>0</v>
      </c>
      <c r="AK10" s="53" t="str">
        <f>CHAR(34)</f>
        <v>"</v>
      </c>
      <c r="AL10" s="45"/>
      <c r="AP10" s="3"/>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row>
    <row r="11" spans="1:100" ht="14.1" customHeight="1" x14ac:dyDescent="0.25">
      <c r="A11" s="13"/>
      <c r="B11" s="14"/>
      <c r="C11" s="101"/>
      <c r="D11" s="101"/>
      <c r="E11" s="104" t="str">
        <f>IF(ISBLANK(R12),"-----",R12)</f>
        <v>Bow Lake Rd over Shelburne Brk</v>
      </c>
      <c r="H11" s="101"/>
      <c r="I11" s="101"/>
      <c r="J11" s="246"/>
      <c r="K11" s="246"/>
      <c r="L11" s="246"/>
      <c r="M11" s="246"/>
      <c r="N11" s="246"/>
      <c r="O11" s="32"/>
      <c r="P11" s="30"/>
      <c r="Q11" s="36" t="s">
        <v>52</v>
      </c>
      <c r="R11" s="54" t="s">
        <v>356</v>
      </c>
      <c r="S11" s="36"/>
      <c r="T11" s="36"/>
      <c r="U11" s="207" t="s">
        <v>126</v>
      </c>
      <c r="V11" s="208"/>
      <c r="W11" s="210"/>
      <c r="X11" s="36"/>
      <c r="Y11" s="36"/>
      <c r="Z11" s="36"/>
      <c r="AA11" s="36"/>
      <c r="AB11" s="36"/>
      <c r="AC11" s="36"/>
      <c r="AD11" s="36"/>
      <c r="AE11" s="41">
        <f>X19</f>
        <v>25</v>
      </c>
      <c r="AF11" s="159">
        <f>ROUND($AF$2*12*(AE11-INT(AE11)),0)/$AF$2</f>
        <v>0</v>
      </c>
      <c r="AG11" s="186"/>
      <c r="AH11" s="126"/>
      <c r="AI11" s="55">
        <f t="shared" ref="AI11:AI21" si="0">1+AI10</f>
        <v>1</v>
      </c>
      <c r="AJ11" s="56">
        <f>1/AK9+AJ10</f>
        <v>7.8125E-3</v>
      </c>
      <c r="AK11" s="57" t="str">
        <f>" 1/"&amp;FIXED(AK9,0,FALSE)&amp;CHAR(34)</f>
        <v xml:space="preserve"> 1/128"</v>
      </c>
      <c r="AL11" s="45"/>
      <c r="AP11" s="3"/>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row>
    <row r="12" spans="1:100" ht="14.1" customHeight="1" x14ac:dyDescent="0.25">
      <c r="A12" s="13"/>
      <c r="B12" s="14"/>
      <c r="C12" s="101"/>
      <c r="D12" s="101"/>
      <c r="E12" s="101"/>
      <c r="F12" s="101"/>
      <c r="G12" s="101"/>
      <c r="H12" s="101"/>
      <c r="I12" s="101"/>
      <c r="J12" s="246"/>
      <c r="K12" s="246"/>
      <c r="L12" s="246"/>
      <c r="M12" s="246"/>
      <c r="N12" s="246"/>
      <c r="O12" s="32"/>
      <c r="P12" s="30"/>
      <c r="Q12" s="36" t="s">
        <v>2</v>
      </c>
      <c r="R12" s="50" t="s">
        <v>357</v>
      </c>
      <c r="S12" s="36"/>
      <c r="T12" s="36"/>
      <c r="U12" s="207" t="s">
        <v>131</v>
      </c>
      <c r="V12" s="208"/>
      <c r="W12" s="210"/>
      <c r="X12" s="36"/>
      <c r="Y12" s="36"/>
      <c r="Z12" s="36"/>
      <c r="AA12" s="36"/>
      <c r="AB12" s="36"/>
      <c r="AC12" s="36"/>
      <c r="AD12" s="36"/>
      <c r="AE12" s="189">
        <f>(AF11-INT(AF11))*$AK$9</f>
        <v>0</v>
      </c>
      <c r="AF12" s="47" t="str">
        <f>TEXT(TRUNC(ABS(AE11)),"#,##0")&amp;"'-"&amp;TEXT(TRUNC(AF11),"0")&amp;VLOOKUP(AE12,inches,3)</f>
        <v>25'-0"</v>
      </c>
      <c r="AG12" s="48" t="str">
        <f>IF(AE11=0,"0''",IF(AE11&lt;0,"-","")&amp;IF(TRUNC(ABS(AE11))=0,"",TEXT(TRUNC(ABS(AE11)),"#,##0")&amp;"'-")&amp;IF(AND(AE11&lt;1,AF11&lt;1),"",TEXT(TRUNC(AF11),"0"))&amp;VLOOKUP(AE12,inches,3))</f>
        <v>25'-0"</v>
      </c>
      <c r="AH12" s="126"/>
      <c r="AI12" s="55">
        <f t="shared" si="0"/>
        <v>2</v>
      </c>
      <c r="AJ12" s="56">
        <f>1/AK9+AJ11</f>
        <v>1.5625E-2</v>
      </c>
      <c r="AK12" s="57" t="str">
        <f>" 1/"&amp;FIXED(AK9/2,0,FALSE)&amp;CHAR(34)</f>
        <v xml:space="preserve"> 1/64"</v>
      </c>
      <c r="AL12" s="45"/>
      <c r="AP12" s="3"/>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row>
    <row r="13" spans="1:100" ht="14.1" customHeight="1" x14ac:dyDescent="0.25">
      <c r="A13" s="13"/>
      <c r="B13" s="14"/>
      <c r="C13" s="104" t="s">
        <v>12</v>
      </c>
      <c r="D13" s="104"/>
      <c r="E13" s="101" t="s">
        <v>13</v>
      </c>
      <c r="F13" s="101"/>
      <c r="G13" s="101"/>
      <c r="H13" s="101"/>
      <c r="I13" s="101"/>
      <c r="O13" s="32"/>
      <c r="P13" s="30"/>
      <c r="Q13" s="36" t="s">
        <v>206</v>
      </c>
      <c r="R13" s="58" t="s">
        <v>207</v>
      </c>
      <c r="S13" s="36" t="s">
        <v>205</v>
      </c>
      <c r="T13" s="54"/>
      <c r="U13" s="202" t="s">
        <v>127</v>
      </c>
      <c r="V13" s="203"/>
      <c r="W13" s="135"/>
      <c r="X13" s="36"/>
      <c r="Y13" s="36"/>
      <c r="Z13" s="36"/>
      <c r="AA13" s="36"/>
      <c r="AB13" s="36"/>
      <c r="AC13" s="36"/>
      <c r="AD13" s="36"/>
      <c r="AE13" s="34" t="s">
        <v>70</v>
      </c>
      <c r="AF13" s="34"/>
      <c r="AG13" s="34"/>
      <c r="AH13" s="34"/>
      <c r="AI13" s="55">
        <f t="shared" si="0"/>
        <v>3</v>
      </c>
      <c r="AJ13" s="56">
        <f>1/AK9+AJ12</f>
        <v>2.34375E-2</v>
      </c>
      <c r="AK13" s="57" t="str">
        <f>" 3/"&amp;FIXED(AK9,0,FALSE)&amp;CHAR(34)</f>
        <v xml:space="preserve"> 3/128"</v>
      </c>
      <c r="AL13" s="45"/>
      <c r="AP13" s="3"/>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row>
    <row r="14" spans="1:100" ht="14.1" customHeight="1" x14ac:dyDescent="0.25">
      <c r="A14" s="13"/>
      <c r="B14" s="14"/>
      <c r="C14" s="101"/>
      <c r="D14" s="101"/>
      <c r="E14" s="101" t="s">
        <v>14</v>
      </c>
      <c r="F14" s="101"/>
      <c r="G14" s="101"/>
      <c r="H14" s="101"/>
      <c r="O14" s="32"/>
      <c r="P14" s="30"/>
      <c r="Q14" s="36" t="s">
        <v>249</v>
      </c>
      <c r="R14" s="176"/>
      <c r="S14" s="36"/>
      <c r="T14" s="36"/>
      <c r="U14" s="136" t="s">
        <v>128</v>
      </c>
      <c r="V14" s="138"/>
      <c r="W14" s="137"/>
      <c r="X14" s="36"/>
      <c r="Y14" s="36"/>
      <c r="Z14" s="36"/>
      <c r="AA14" s="36"/>
      <c r="AB14" s="36"/>
      <c r="AC14" s="36"/>
      <c r="AD14" s="36"/>
      <c r="AE14" s="41">
        <f>ROUND(Y19*12,0)/12</f>
        <v>0</v>
      </c>
      <c r="AF14" s="159">
        <f>ROUND($AF$2*12*(AE14-INT(AE14)),0)/$AF$2</f>
        <v>0</v>
      </c>
      <c r="AG14" s="186"/>
      <c r="AH14" s="126"/>
      <c r="AI14" s="55">
        <f t="shared" si="0"/>
        <v>4</v>
      </c>
      <c r="AJ14" s="56">
        <f>1/AK9+AJ13</f>
        <v>3.125E-2</v>
      </c>
      <c r="AK14" s="57" t="str">
        <f>" 1/"&amp;FIXED(AK9/4,0,FALSE)&amp;CHAR(34)</f>
        <v xml:space="preserve"> 1/32"</v>
      </c>
      <c r="AL14" s="45"/>
      <c r="AP14" s="3"/>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row>
    <row r="15" spans="1:100" ht="14.1" customHeight="1" x14ac:dyDescent="0.25">
      <c r="A15" s="13"/>
      <c r="B15" s="14"/>
      <c r="C15" s="101"/>
      <c r="D15" s="101"/>
      <c r="E15" s="101" t="s">
        <v>15</v>
      </c>
      <c r="F15" s="101"/>
      <c r="G15" s="101"/>
      <c r="H15" s="101"/>
      <c r="O15" s="32"/>
      <c r="P15" s="30"/>
      <c r="Q15" s="36"/>
      <c r="R15" s="36"/>
      <c r="S15" s="36"/>
      <c r="T15" s="36"/>
      <c r="U15" s="36"/>
      <c r="V15" s="36"/>
      <c r="W15" s="36"/>
      <c r="X15" s="36"/>
      <c r="Y15" s="36"/>
      <c r="Z15" s="36"/>
      <c r="AA15" s="36"/>
      <c r="AB15" s="36"/>
      <c r="AC15" s="36"/>
      <c r="AD15" s="36"/>
      <c r="AE15" s="189">
        <f>(AF14-INT(AF14))*$AK$9</f>
        <v>0</v>
      </c>
      <c r="AF15" s="47" t="str">
        <f>TEXT(TRUNC(ABS(AE14)),"#,##0")&amp;"'-"&amp;TEXT(TRUNC(AF14),"0")&amp;VLOOKUP(AE15,inches,3)</f>
        <v>0'-0"</v>
      </c>
      <c r="AG15" s="48" t="str">
        <f>IF(AE14=0,"0''",IF(AE14&lt;0,"-","")&amp;IF(TRUNC(ABS(AE14))=0,"",TEXT(TRUNC(ABS(AE14)),"#,##0")&amp;"'-")&amp;IF(AND(AE14&lt;1,AF14&lt;1),"",TEXT(TRUNC(AF14),"0"))&amp;VLOOKUP(AE15,inches,3))</f>
        <v>0''</v>
      </c>
      <c r="AH15" s="126"/>
      <c r="AI15" s="55">
        <f t="shared" si="0"/>
        <v>5</v>
      </c>
      <c r="AJ15" s="56">
        <f>1/AK9+AJ14</f>
        <v>3.90625E-2</v>
      </c>
      <c r="AK15" s="57" t="str">
        <f>" 5/"&amp;FIXED(AK9,0,FALSE)&amp;CHAR(34)</f>
        <v xml:space="preserve"> 5/128"</v>
      </c>
      <c r="AL15" s="45"/>
      <c r="AP15" s="3"/>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row>
    <row r="16" spans="1:100" ht="10.5" customHeight="1" x14ac:dyDescent="0.25">
      <c r="A16" s="13"/>
      <c r="B16" s="14"/>
      <c r="C16" s="101"/>
      <c r="D16" s="101"/>
      <c r="E16" s="101"/>
      <c r="F16" s="101"/>
      <c r="G16" s="101"/>
      <c r="H16" s="101"/>
      <c r="I16" s="101"/>
      <c r="O16" s="32"/>
      <c r="P16" s="30"/>
      <c r="Q16" s="7" t="s">
        <v>17</v>
      </c>
      <c r="R16" s="36"/>
      <c r="S16" s="36"/>
      <c r="T16" s="36"/>
      <c r="U16" s="36"/>
      <c r="V16" s="36"/>
      <c r="W16" s="36"/>
      <c r="X16" s="36"/>
      <c r="Y16" s="59" t="s">
        <v>61</v>
      </c>
      <c r="Z16" s="36"/>
      <c r="AA16" s="36"/>
      <c r="AB16" s="36"/>
      <c r="AC16" s="36"/>
      <c r="AD16" s="36"/>
      <c r="AE16" s="34" t="s">
        <v>71</v>
      </c>
      <c r="AF16" s="34"/>
      <c r="AG16" s="34"/>
      <c r="AH16" s="34"/>
      <c r="AI16" s="55">
        <f t="shared" si="0"/>
        <v>6</v>
      </c>
      <c r="AJ16" s="56">
        <f>1/AK9+AJ15</f>
        <v>4.6875E-2</v>
      </c>
      <c r="AK16" s="57" t="str">
        <f>" 3/"&amp;FIXED(AK9/2,0,FALSE)&amp;CHAR(34)</f>
        <v xml:space="preserve"> 3/64"</v>
      </c>
      <c r="AL16" s="45"/>
      <c r="AP16" s="3"/>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row>
    <row r="17" spans="1:100" ht="14.1" customHeight="1" x14ac:dyDescent="0.25">
      <c r="A17" s="13"/>
      <c r="B17" s="14"/>
      <c r="C17" s="244" t="s">
        <v>16</v>
      </c>
      <c r="D17" s="244"/>
      <c r="E17" s="244"/>
      <c r="F17" s="244"/>
      <c r="G17" s="244"/>
      <c r="H17" s="244"/>
      <c r="I17" s="244"/>
      <c r="J17" s="244"/>
      <c r="K17" s="244"/>
      <c r="L17" s="244"/>
      <c r="M17" s="244"/>
      <c r="N17" s="244"/>
      <c r="O17" s="32"/>
      <c r="P17" s="30"/>
      <c r="Q17" s="36" t="s">
        <v>34</v>
      </c>
      <c r="R17" s="58">
        <v>1938</v>
      </c>
      <c r="S17" s="36" t="s">
        <v>164</v>
      </c>
      <c r="T17" s="58"/>
      <c r="U17" s="36"/>
      <c r="V17" s="36"/>
      <c r="W17" s="66" t="s">
        <v>113</v>
      </c>
      <c r="X17" s="58">
        <v>14</v>
      </c>
      <c r="Y17" s="58"/>
      <c r="Z17" s="36"/>
      <c r="AA17" s="36" t="s">
        <v>119</v>
      </c>
      <c r="AB17" s="50" t="s">
        <v>58</v>
      </c>
      <c r="AC17" s="36"/>
      <c r="AD17" s="36"/>
      <c r="AE17" s="41">
        <f>R31</f>
        <v>22</v>
      </c>
      <c r="AF17" s="159">
        <f>ROUND($AF$2*12*(AE17-INT(AE17)),0)/$AF$2</f>
        <v>0</v>
      </c>
      <c r="AG17" s="186"/>
      <c r="AH17" s="126"/>
      <c r="AI17" s="55">
        <f t="shared" si="0"/>
        <v>7</v>
      </c>
      <c r="AJ17" s="56">
        <f>1/AK9+AJ16</f>
        <v>5.46875E-2</v>
      </c>
      <c r="AK17" s="57" t="str">
        <f>" 7/"&amp;FIXED(AK9,0,FALSE)&amp;CHAR(34)</f>
        <v xml:space="preserve"> 7/128"</v>
      </c>
      <c r="AL17" s="45"/>
      <c r="AP17" s="3"/>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row>
    <row r="18" spans="1:100" ht="14.1" customHeight="1" x14ac:dyDescent="0.25">
      <c r="A18" s="13"/>
      <c r="B18" s="14"/>
      <c r="C18" s="105" t="s">
        <v>17</v>
      </c>
      <c r="D18" s="105"/>
      <c r="E18" s="101"/>
      <c r="F18" s="101"/>
      <c r="G18" s="101"/>
      <c r="H18" s="168"/>
      <c r="I18" s="101"/>
      <c r="J18" s="101"/>
      <c r="K18" s="101"/>
      <c r="L18" s="101"/>
      <c r="M18" s="101"/>
      <c r="N18" s="101"/>
      <c r="O18" s="32"/>
      <c r="P18" s="30"/>
      <c r="Q18" s="36" t="s">
        <v>22</v>
      </c>
      <c r="R18" s="50" t="s">
        <v>351</v>
      </c>
      <c r="S18" s="36"/>
      <c r="T18" s="36"/>
      <c r="U18" s="36"/>
      <c r="V18" s="36"/>
      <c r="W18" s="66"/>
      <c r="X18" s="59" t="s">
        <v>50</v>
      </c>
      <c r="Y18" s="59" t="s">
        <v>54</v>
      </c>
      <c r="Z18" s="59" t="s">
        <v>61</v>
      </c>
      <c r="AA18" s="36" t="s">
        <v>31</v>
      </c>
      <c r="AB18" s="50" t="s">
        <v>358</v>
      </c>
      <c r="AC18" s="36"/>
      <c r="AD18" s="36"/>
      <c r="AE18" s="189">
        <f>(AF17-INT(AF17))*$AK$9</f>
        <v>0</v>
      </c>
      <c r="AF18" s="47" t="str">
        <f>TEXT(TRUNC(ABS(AE17)),"#,##0")&amp;"'-"&amp;TEXT(TRUNC(AF17),"0")&amp;VLOOKUP(AE18,inches,3)</f>
        <v>22'-0"</v>
      </c>
      <c r="AG18" s="48" t="str">
        <f>IF(AE17=0,"0''",IF(AE17&lt;0,"-","")&amp;IF(TRUNC(ABS(AE17))=0,"",TEXT(TRUNC(ABS(AE17)),"#,##0")&amp;"'-")&amp;IF(AND(AE17&lt;1,AF17&lt;1),"",TEXT(TRUNC(AF17),"0"))&amp;VLOOKUP(AE18,inches,3))</f>
        <v>22'-0"</v>
      </c>
      <c r="AH18" s="126"/>
      <c r="AI18" s="55">
        <f t="shared" si="0"/>
        <v>8</v>
      </c>
      <c r="AJ18" s="56">
        <f>1/AK9+AJ17</f>
        <v>6.25E-2</v>
      </c>
      <c r="AK18" s="57" t="str">
        <f>" 1/"&amp;FIXED(AK9/8,0,FALSE)&amp;CHAR(34)</f>
        <v xml:space="preserve"> 1/16"</v>
      </c>
      <c r="AL18" s="45"/>
      <c r="AP18" s="3"/>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row>
    <row r="19" spans="1:100" ht="14.1" customHeight="1" x14ac:dyDescent="0.25">
      <c r="A19" s="13"/>
      <c r="B19" s="14"/>
      <c r="C19" s="121" t="s">
        <v>138</v>
      </c>
      <c r="D19" s="106"/>
      <c r="E19" s="107" t="str">
        <f>IF(ISBLANK(R17),"-----",R17&amp;IF(ISBLANK(T17),"",", rebuilt "&amp;T17))</f>
        <v>1938</v>
      </c>
      <c r="F19" s="101"/>
      <c r="G19" s="106" t="s">
        <v>139</v>
      </c>
      <c r="H19" s="107" t="str">
        <f>IF(ISBLANK(X17),"-----",AF9&amp;" "&amp;Y17)</f>
        <v xml:space="preserve">14'-0" </v>
      </c>
      <c r="I19" s="101"/>
      <c r="J19" s="108" t="s">
        <v>140</v>
      </c>
      <c r="K19" s="101"/>
      <c r="L19" s="109" t="str">
        <f>IF(ISBLANK(AB17),"-----",AB17)</f>
        <v>Substandard</v>
      </c>
      <c r="M19" s="109"/>
      <c r="N19" s="101"/>
      <c r="O19" s="32"/>
      <c r="P19" s="30"/>
      <c r="Q19" s="36" t="s">
        <v>32</v>
      </c>
      <c r="R19" s="59" t="s">
        <v>37</v>
      </c>
      <c r="S19" s="59" t="s">
        <v>38</v>
      </c>
      <c r="T19" s="59" t="s">
        <v>39</v>
      </c>
      <c r="U19" s="36"/>
      <c r="V19" s="36"/>
      <c r="W19" s="66" t="s">
        <v>110</v>
      </c>
      <c r="X19" s="58">
        <v>25</v>
      </c>
      <c r="Y19" s="58"/>
      <c r="Z19" s="50"/>
      <c r="AA19" s="36"/>
      <c r="AB19" s="36"/>
      <c r="AC19" s="36"/>
      <c r="AD19" s="36"/>
      <c r="AE19" s="34" t="s">
        <v>72</v>
      </c>
      <c r="AF19" s="34"/>
      <c r="AG19" s="34"/>
      <c r="AH19" s="34"/>
      <c r="AI19" s="55">
        <f t="shared" si="0"/>
        <v>9</v>
      </c>
      <c r="AJ19" s="56">
        <f>1/AK9+AJ18</f>
        <v>7.03125E-2</v>
      </c>
      <c r="AK19" s="57" t="str">
        <f>" 9/"&amp;FIXED(AK9,0,FALSE)&amp;CHAR(34)</f>
        <v xml:space="preserve"> 9/128"</v>
      </c>
      <c r="AL19" s="45"/>
      <c r="AP19" s="3"/>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row>
    <row r="20" spans="1:100" ht="14.1" customHeight="1" x14ac:dyDescent="0.25">
      <c r="A20" s="13"/>
      <c r="B20" s="14"/>
      <c r="C20" s="121" t="s">
        <v>22</v>
      </c>
      <c r="D20" s="106"/>
      <c r="E20" s="107" t="str">
        <f>IF(ISBLANK(R18),"-----",R18)</f>
        <v>Concrete Slab</v>
      </c>
      <c r="F20" s="101"/>
      <c r="G20" s="106" t="s">
        <v>141</v>
      </c>
      <c r="H20" s="107" t="str">
        <f>IF(ISBLANK(X19),"-----",IF(ISBLANK(Y19),AF12,"Varies: "&amp;AF12&amp;" To "&amp;AF15)&amp;" "&amp;Z19)</f>
        <v xml:space="preserve">25'-0" </v>
      </c>
      <c r="I20" s="101"/>
      <c r="J20" s="108" t="s">
        <v>142</v>
      </c>
      <c r="K20" s="233" t="str">
        <f>IF(ISBLANK(AB18),"",AB18)</f>
        <v>Aerial utilites pass parallel to bridge along E. Fascia</v>
      </c>
      <c r="L20" s="233"/>
      <c r="M20" s="233"/>
      <c r="N20" s="233"/>
      <c r="O20" s="32"/>
      <c r="P20" s="30"/>
      <c r="Q20" s="60" t="s">
        <v>40</v>
      </c>
      <c r="R20" s="61">
        <v>1400</v>
      </c>
      <c r="S20" s="62">
        <v>0.1</v>
      </c>
      <c r="T20" s="63">
        <v>2012</v>
      </c>
      <c r="U20" s="36"/>
      <c r="V20" s="36"/>
      <c r="W20" s="66" t="s">
        <v>55</v>
      </c>
      <c r="X20" s="58">
        <v>30</v>
      </c>
      <c r="Y20" s="36" t="s">
        <v>56</v>
      </c>
      <c r="Z20" s="36"/>
      <c r="AA20" s="36" t="s">
        <v>30</v>
      </c>
      <c r="AB20" s="50" t="s">
        <v>337</v>
      </c>
      <c r="AC20" s="36"/>
      <c r="AD20" s="188"/>
      <c r="AE20" s="41">
        <f>X34</f>
        <v>24</v>
      </c>
      <c r="AF20" s="159">
        <f>ROUND($AF$2*12*(AE20-INT(AE20)),0)/$AF$2</f>
        <v>0</v>
      </c>
      <c r="AG20" s="186"/>
      <c r="AH20" s="126"/>
      <c r="AI20" s="55">
        <f t="shared" si="0"/>
        <v>10</v>
      </c>
      <c r="AJ20" s="56">
        <f>1/AK9+AJ19</f>
        <v>7.8125E-2</v>
      </c>
      <c r="AK20" s="57" t="str">
        <f>" 5/"&amp;FIXED(AK9/2,0,FALSE)&amp;CHAR(34)</f>
        <v xml:space="preserve"> 5/64"</v>
      </c>
      <c r="AL20" s="45"/>
      <c r="AP20" s="3"/>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row>
    <row r="21" spans="1:100" ht="14.1" customHeight="1" x14ac:dyDescent="0.3">
      <c r="A21" s="13"/>
      <c r="B21" s="14"/>
      <c r="C21" s="121" t="s">
        <v>143</v>
      </c>
      <c r="D21" s="106"/>
      <c r="E21" s="107" t="str">
        <f>IF(ISTEXT(R20),R20,IF(AND(AG61="()",AG62=""),"-----",AG61))</f>
        <v>1,400 / 10% Trks, (2012)</v>
      </c>
      <c r="F21" s="131"/>
      <c r="G21" s="106" t="s">
        <v>144</v>
      </c>
      <c r="H21" s="107" t="str">
        <f>IF(ISBLANK(X20),"-----",X20&amp;CHAR(176))</f>
        <v>30°</v>
      </c>
      <c r="I21" s="101"/>
      <c r="J21" s="101"/>
      <c r="K21" s="233"/>
      <c r="L21" s="233"/>
      <c r="M21" s="233"/>
      <c r="N21" s="233"/>
      <c r="O21" s="32"/>
      <c r="P21" s="30"/>
      <c r="Q21" s="60" t="s">
        <v>41</v>
      </c>
      <c r="R21" s="61">
        <v>2072</v>
      </c>
      <c r="S21" s="62">
        <v>0.1</v>
      </c>
      <c r="T21" s="63">
        <v>2032</v>
      </c>
      <c r="U21" s="36"/>
      <c r="V21" s="36"/>
      <c r="W21" s="66" t="s">
        <v>27</v>
      </c>
      <c r="X21" s="62">
        <v>0.26800000000000002</v>
      </c>
      <c r="Y21" s="36"/>
      <c r="Z21" s="36"/>
      <c r="AA21" s="59" t="s">
        <v>172</v>
      </c>
      <c r="AB21" s="58">
        <v>231</v>
      </c>
      <c r="AC21" s="36"/>
      <c r="AD21" s="36"/>
      <c r="AE21" s="189">
        <f>(AF20-INT(AF20))*$AK$9</f>
        <v>0</v>
      </c>
      <c r="AF21" s="47" t="str">
        <f>TEXT(TRUNC(ABS(AE20)),"#,##0")&amp;"'-"&amp;TEXT(TRUNC(AF20),"0")&amp;VLOOKUP(AE21,inches,3)</f>
        <v>24'-0"</v>
      </c>
      <c r="AG21" s="48" t="str">
        <f>IF(AE20=0,"0''",IF(AE20&lt;0,"-","")&amp;IF(TRUNC(ABS(AE20))=0,"",TEXT(TRUNC(ABS(AE20)),"#,##0")&amp;"'-")&amp;IF(AND(AE20&lt;1,AF20&lt;1),"",TEXT(TRUNC(AF20),"0"))&amp;VLOOKUP(AE21,inches,3))</f>
        <v>24'-0"</v>
      </c>
      <c r="AH21" s="126"/>
      <c r="AI21" s="55">
        <f t="shared" si="0"/>
        <v>11</v>
      </c>
      <c r="AJ21" s="56">
        <f>1/AK9+AJ20</f>
        <v>8.59375E-2</v>
      </c>
      <c r="AK21" s="57" t="str">
        <f>" 11/"&amp;FIXED(AK9,0,FALSE)&amp;CHAR(34)</f>
        <v xml:space="preserve"> 11/128"</v>
      </c>
      <c r="AL21" s="45"/>
      <c r="AP21" s="3"/>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row>
    <row r="22" spans="1:100" ht="14.1" customHeight="1" x14ac:dyDescent="0.3">
      <c r="A22" s="13"/>
      <c r="B22" s="14"/>
      <c r="C22" s="121"/>
      <c r="D22" s="106"/>
      <c r="E22" s="101" t="str">
        <f>IF(ISTEXT(R20),"",IF(AND(AG61="()",AG62=""),"",IF(AG62="","",AG62)))</f>
        <v>2,072 / 10% Trks, (2032)</v>
      </c>
      <c r="F22" s="131"/>
      <c r="G22" s="106" t="s">
        <v>149</v>
      </c>
      <c r="H22" s="111">
        <f>IF(ISBLANK(X21),"-----",X21)</f>
        <v>0.26800000000000002</v>
      </c>
      <c r="I22" s="101"/>
      <c r="J22" s="108" t="s">
        <v>147</v>
      </c>
      <c r="K22" s="101"/>
      <c r="L22" s="101" t="str">
        <f>IF(E27="Rehabilitate Existing Bridge",IF(ISBLANK(AB20),"n/a",AB20),IF(ISBLANK(AB20),"-----",AB20))</f>
        <v>Stream Stats</v>
      </c>
      <c r="M22" s="101"/>
      <c r="N22" s="101"/>
      <c r="O22" s="32"/>
      <c r="P22" s="30"/>
      <c r="Q22" s="36" t="s">
        <v>33</v>
      </c>
      <c r="R22" s="64">
        <v>3.3</v>
      </c>
      <c r="S22" s="36" t="s">
        <v>109</v>
      </c>
      <c r="T22" s="58"/>
      <c r="U22" s="36"/>
      <c r="V22" s="36"/>
      <c r="W22" s="66"/>
      <c r="X22" s="36" t="s">
        <v>45</v>
      </c>
      <c r="Y22" s="66" t="s">
        <v>237</v>
      </c>
      <c r="Z22" s="36"/>
      <c r="AA22" s="59" t="s">
        <v>173</v>
      </c>
      <c r="AB22" s="58">
        <v>284</v>
      </c>
      <c r="AC22" s="36"/>
      <c r="AD22" s="36"/>
      <c r="AE22" s="125"/>
      <c r="AF22" s="126"/>
      <c r="AG22" s="126"/>
      <c r="AH22" s="126"/>
      <c r="AI22" s="55">
        <f t="shared" ref="AI22:AI43" si="1">1+AI21</f>
        <v>12</v>
      </c>
      <c r="AJ22" s="56">
        <f>1/AK9+AJ21</f>
        <v>9.375E-2</v>
      </c>
      <c r="AK22" s="57" t="str">
        <f>" 3/"&amp;FIXED(AK9/4,0,FALSE)&amp;CHAR(34)</f>
        <v xml:space="preserve"> 3/32"</v>
      </c>
      <c r="AL22" s="45"/>
      <c r="AP22" s="3"/>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row>
    <row r="23" spans="1:100" ht="14.1" customHeight="1" x14ac:dyDescent="0.25">
      <c r="A23" s="13"/>
      <c r="B23" s="14"/>
      <c r="C23" s="121" t="s">
        <v>145</v>
      </c>
      <c r="D23" s="106"/>
      <c r="E23" s="110" t="str">
        <f>IF(AND(ISBLANK(R22),ISBLANK(T22)),"-----",IF(T22="Dead End",T22,TEXT(R22,"0.0")&amp;" mile"&amp;IF(R22&lt;&gt;1,"s","")))</f>
        <v>3.3 miles</v>
      </c>
      <c r="F23" s="101"/>
      <c r="G23" s="106" t="s">
        <v>146</v>
      </c>
      <c r="H23" s="233" t="str">
        <f>IF(ISBLANK(X23),IF(ISBLANK(Y23),"-----",Y23),X23&amp;IF(X23="Wgt Lmt"," "&amp;TEXT(Y23,0)&amp;" Tons",IF(ISBLANK(Y23),""," ("&amp;Y23&amp;")")))</f>
        <v>E2</v>
      </c>
      <c r="I23" s="233"/>
      <c r="J23" s="112" t="s">
        <v>150</v>
      </c>
      <c r="K23" s="107" t="str">
        <f>IF(OR(L22="None Available",L22="N/A"),"n/a",IF(ISBLANK(AB21),"-----",TEXT(AB21,"#,###")&amp;" cfs"))</f>
        <v>231 cfs</v>
      </c>
      <c r="L23" s="112" t="s">
        <v>151</v>
      </c>
      <c r="M23" s="107" t="str">
        <f>IF(OR(L22="None Available",L22="N/A"),"n/a",IF(ISBLANK(AB22),"-----",TEXT(AB22,"#,###")&amp;" cfs"))</f>
        <v>284 cfs</v>
      </c>
      <c r="O23" s="32"/>
      <c r="P23" s="30"/>
      <c r="Q23" s="36" t="s">
        <v>29</v>
      </c>
      <c r="R23" s="50" t="s">
        <v>131</v>
      </c>
      <c r="S23" s="36"/>
      <c r="T23" s="36"/>
      <c r="U23" s="36"/>
      <c r="V23" s="36"/>
      <c r="W23" s="66" t="s">
        <v>28</v>
      </c>
      <c r="X23" s="50" t="s">
        <v>23</v>
      </c>
      <c r="Y23" s="58"/>
      <c r="Z23" s="36"/>
      <c r="AA23" s="36"/>
      <c r="AB23" s="36"/>
      <c r="AC23" s="36"/>
      <c r="AD23" s="36"/>
      <c r="AE23" s="34" t="s">
        <v>73</v>
      </c>
      <c r="AF23" s="34"/>
      <c r="AG23" s="34"/>
      <c r="AH23" s="34"/>
      <c r="AI23" s="55">
        <f t="shared" si="1"/>
        <v>13</v>
      </c>
      <c r="AJ23" s="56">
        <f>1/AK9+AJ22</f>
        <v>0.1015625</v>
      </c>
      <c r="AK23" s="57" t="str">
        <f>" 13/"&amp;FIXED(AK9,0,FALSE)&amp;CHAR(34)</f>
        <v xml:space="preserve"> 13/128"</v>
      </c>
      <c r="AL23" s="45"/>
      <c r="AP23" s="3"/>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row>
    <row r="24" spans="1:100" ht="14.1" customHeight="1" x14ac:dyDescent="0.25">
      <c r="A24" s="13"/>
      <c r="B24" s="14"/>
      <c r="C24" s="121" t="s">
        <v>148</v>
      </c>
      <c r="D24" s="106"/>
      <c r="E24" s="107" t="str">
        <f ca="1">IF(ISBLANK(R23),"-----",IF(OR(R23="On Register (Historic)",R23="Eligible (Historic)",R24="-----"),R23,IF(VALUE(R24)&lt;50,IF(R23="Not Eligible","No","Potentially Historic"),"Potentially Due To Age")))</f>
        <v>Potentially Due To Age</v>
      </c>
      <c r="F24" s="101"/>
      <c r="H24" s="233"/>
      <c r="I24" s="233"/>
      <c r="O24" s="32"/>
      <c r="P24" s="30"/>
      <c r="Q24" s="98" t="s">
        <v>129</v>
      </c>
      <c r="R24" s="97" t="str">
        <f ca="1">IF(OR(ISBLANK(R17),R17="Unknown"),"-----",TEXT((TODAY()-DATEVALUE("12/31/"&amp;MAX(1900,R17))+IF(R17&gt;=1900,0,(1900-R17)*365))/365,"#"))</f>
        <v>77</v>
      </c>
      <c r="S24" s="36" t="s">
        <v>130</v>
      </c>
      <c r="T24" s="36"/>
      <c r="U24" s="33"/>
      <c r="V24" s="33"/>
      <c r="W24" s="33"/>
      <c r="X24" s="33"/>
      <c r="Y24" s="33"/>
      <c r="Z24" s="36"/>
      <c r="AA24" s="36"/>
      <c r="AB24" s="36"/>
      <c r="AC24" s="36"/>
      <c r="AD24" s="36"/>
      <c r="AE24" s="41">
        <f>IF(ISBLANK(R33),AE20+3,R33)</f>
        <v>27</v>
      </c>
      <c r="AF24" s="159">
        <f>ROUND($AF$2*12*(AE24-INT(AE24)),0)/$AF$2</f>
        <v>0</v>
      </c>
      <c r="AG24" s="186"/>
      <c r="AH24" s="126"/>
      <c r="AI24" s="55">
        <f t="shared" si="1"/>
        <v>14</v>
      </c>
      <c r="AJ24" s="56">
        <f>1/AK9+AJ23</f>
        <v>0.109375</v>
      </c>
      <c r="AK24" s="57" t="str">
        <f>" 7/"&amp;FIXED(AK9/2,0,FALSE)&amp;CHAR(34)</f>
        <v xml:space="preserve"> 7/64"</v>
      </c>
      <c r="AL24" s="45"/>
      <c r="AP24" s="3"/>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row>
    <row r="25" spans="1:100" ht="14.1" customHeight="1" x14ac:dyDescent="0.25">
      <c r="A25" s="13"/>
      <c r="B25" s="14"/>
      <c r="C25" s="101"/>
      <c r="D25" s="101"/>
      <c r="E25" s="109" t="str">
        <f ca="1">IF(ISBLANK(R23),"-----",IF(OR(R23="On Register (Historic)",R23="Eligible (Historic)",R24="-----"),"",IF(VALUE(R24)&lt;50,IF(R23="Not Eligible","","(Age = "&amp;R24&amp;"yrs, "&amp;IF(VALUE(R24)&lt;40,"&lt;","nearing")&amp;" 50 yr threshold)"),"(Age = "&amp;R24&amp;"yrs, Exceeds 50 yr threshold)")))</f>
        <v>(Age = 77yrs, Exceeds 50 yr threshold)</v>
      </c>
      <c r="F25" s="101"/>
      <c r="G25" s="101"/>
      <c r="H25" s="101"/>
      <c r="I25" s="101"/>
      <c r="J25" s="101"/>
      <c r="K25" s="101"/>
      <c r="L25" s="101"/>
      <c r="M25" s="101"/>
      <c r="N25" s="101"/>
      <c r="O25" s="32"/>
      <c r="P25" s="30"/>
      <c r="Q25" s="7" t="s">
        <v>62</v>
      </c>
      <c r="R25" s="59" t="s">
        <v>211</v>
      </c>
      <c r="S25" s="59" t="s">
        <v>212</v>
      </c>
      <c r="T25" s="36"/>
      <c r="U25" s="33"/>
      <c r="V25" s="33"/>
      <c r="W25" s="33"/>
      <c r="X25" s="33"/>
      <c r="Y25" s="33" t="s">
        <v>61</v>
      </c>
      <c r="Z25" s="36"/>
      <c r="AA25" s="36"/>
      <c r="AB25" s="36"/>
      <c r="AC25" s="36"/>
      <c r="AD25" s="36"/>
      <c r="AE25" s="189">
        <f>(AF24-INT(AF24))*$AK$9</f>
        <v>0</v>
      </c>
      <c r="AF25" s="47" t="str">
        <f>TEXT(TRUNC(ABS(AE24)),"#,##0")&amp;"'-"&amp;TEXT(TRUNC(AF24),"0")&amp;VLOOKUP(AE25,inches,3)</f>
        <v>27'-0"</v>
      </c>
      <c r="AG25" s="48" t="str">
        <f>IF(AE24=0,"0''",IF(AE24&lt;0,"-","")&amp;IF(TRUNC(ABS(AE24))=0,"",TEXT(TRUNC(ABS(AE24)),"#,##0")&amp;"'-")&amp;IF(AND(AE24&lt;1,AF24&lt;1),"",TEXT(TRUNC(AF24),"0"))&amp;VLOOKUP(AE25,inches,3))</f>
        <v>27'-0"</v>
      </c>
      <c r="AH25" s="126"/>
      <c r="AI25" s="55">
        <f t="shared" si="1"/>
        <v>15</v>
      </c>
      <c r="AJ25" s="56">
        <f>1/AK9+AJ24</f>
        <v>0.1171875</v>
      </c>
      <c r="AK25" s="57" t="str">
        <f>" 15/"&amp;FIXED(AK9,0,FALSE)&amp;CHAR(34)</f>
        <v xml:space="preserve"> 15/128"</v>
      </c>
      <c r="AL25" s="45"/>
      <c r="AP25" s="3"/>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row>
    <row r="26" spans="1:100" ht="14.1" customHeight="1" x14ac:dyDescent="0.25">
      <c r="A26" s="13"/>
      <c r="B26" s="14"/>
      <c r="C26" s="105" t="str">
        <f>IF(S26="None","","Option 1: ")&amp;IF($R$26="Rehabilitate Existing Bridge","Bridge Rehabilitation"&amp;IF($S$26="Rehabitate Existing Bridge (2)"," (1):",":"),"Proposed Bridge Replacement Structure:")</f>
        <v>Proposed Bridge Replacement Structure:</v>
      </c>
      <c r="D26" s="105"/>
      <c r="E26" s="101"/>
      <c r="H26" s="122" t="s">
        <v>221</v>
      </c>
      <c r="I26" s="101"/>
      <c r="J26" s="101"/>
      <c r="K26" s="101"/>
      <c r="L26" s="101"/>
      <c r="M26" s="101"/>
      <c r="N26" s="101"/>
      <c r="O26" s="32"/>
      <c r="P26" s="30"/>
      <c r="Q26" s="36" t="s">
        <v>63</v>
      </c>
      <c r="R26" s="50" t="s">
        <v>297</v>
      </c>
      <c r="S26" s="50" t="s">
        <v>57</v>
      </c>
      <c r="T26" s="36"/>
      <c r="U26" s="36"/>
      <c r="V26" s="134"/>
      <c r="W26" s="60" t="s">
        <v>81</v>
      </c>
      <c r="X26" s="50" t="s">
        <v>24</v>
      </c>
      <c r="Y26" s="50" t="s">
        <v>209</v>
      </c>
      <c r="Z26" s="36"/>
      <c r="AA26" s="36"/>
      <c r="AB26" s="36"/>
      <c r="AC26" s="36"/>
      <c r="AD26" s="36"/>
      <c r="AE26" s="34" t="s">
        <v>74</v>
      </c>
      <c r="AF26" s="34"/>
      <c r="AG26" s="34"/>
      <c r="AH26" s="34"/>
      <c r="AI26" s="55">
        <f t="shared" si="1"/>
        <v>16</v>
      </c>
      <c r="AJ26" s="56">
        <f>1/AK9+AJ25</f>
        <v>0.125</v>
      </c>
      <c r="AK26" s="57" t="str">
        <f>" 1/"&amp;FIXED(AK9/16,0,FALSE)&amp;CHAR(34)</f>
        <v xml:space="preserve"> 1/8"</v>
      </c>
      <c r="AL26" s="45"/>
      <c r="AP26" s="3"/>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row>
    <row r="27" spans="1:100" ht="14.1" customHeight="1" x14ac:dyDescent="0.25">
      <c r="A27" s="13"/>
      <c r="B27" s="14"/>
      <c r="C27" s="121" t="s">
        <v>152</v>
      </c>
      <c r="D27" s="106"/>
      <c r="E27" s="101" t="str">
        <f>IF(ISBLANK(R26),"-----",R26)</f>
        <v>Precast 3-sided Frame</v>
      </c>
      <c r="F27" s="101"/>
      <c r="H27" s="106" t="s">
        <v>153</v>
      </c>
      <c r="J27" s="107" t="str">
        <f>IF(ISBLANK(X26),IF(E27="Rehabilitate Existing Bridge","n/a","-----"),X26&amp;IF(ISBLANK(Y26),""," ("&amp;Y26&amp;")"))</f>
        <v>No (Short Detour)</v>
      </c>
      <c r="K27" s="113"/>
      <c r="L27" s="101"/>
      <c r="M27" s="101"/>
      <c r="N27" s="101"/>
      <c r="O27" s="32"/>
      <c r="P27" s="30"/>
      <c r="Q27" s="36" t="s">
        <v>284</v>
      </c>
      <c r="R27" s="58">
        <v>1.64</v>
      </c>
      <c r="S27" s="36" t="s">
        <v>285</v>
      </c>
      <c r="T27" s="36"/>
      <c r="U27" s="36"/>
      <c r="V27" s="36"/>
      <c r="W27" s="36"/>
      <c r="X27" s="36"/>
      <c r="Y27" s="36"/>
      <c r="Z27" s="36"/>
      <c r="AA27" s="36"/>
      <c r="AB27" s="36"/>
      <c r="AC27" s="36"/>
      <c r="AD27" s="36"/>
      <c r="AE27" s="41">
        <f>IF(ISBLANK(X35),AE20-IF(OR(ISBLANK(R37),R37="None"),2*0.5,IF(R37="1 Side",R38+0.5,2*R38)),X35)</f>
        <v>23</v>
      </c>
      <c r="AF27" s="159">
        <f>ROUND($AF$2*12*(AE27-INT(AE27)),0)/$AF$2</f>
        <v>0</v>
      </c>
      <c r="AG27" s="186"/>
      <c r="AH27" s="126"/>
      <c r="AI27" s="55">
        <f t="shared" si="1"/>
        <v>17</v>
      </c>
      <c r="AJ27" s="56">
        <f>1/AK9+AJ26</f>
        <v>0.1328125</v>
      </c>
      <c r="AK27" s="57" t="str">
        <f>" 17/"&amp;FIXED(AK9,0,FALSE)&amp;CHAR(34)</f>
        <v xml:space="preserve"> 17/128"</v>
      </c>
      <c r="AL27" s="45"/>
      <c r="AP27" s="3"/>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row>
    <row r="28" spans="1:100" ht="14.1" customHeight="1" x14ac:dyDescent="0.25">
      <c r="A28" s="13"/>
      <c r="B28" s="14"/>
      <c r="C28" s="121" t="s">
        <v>154</v>
      </c>
      <c r="D28" s="106"/>
      <c r="E28" s="101" t="str">
        <f>IF(ISBLANK(R31),IF(E27="Rehabilitate Existing Bridge","n/a","-----"),IF(ISTEXT(R31),R31,AF18)&amp;IF(IF(ISBLANK(R34),X20,R34)=0,""," (Normal to "&amp;T31&amp;")"))</f>
        <v>22'-0" (Normal to Stream)</v>
      </c>
      <c r="F28" s="101"/>
      <c r="H28" s="106" t="str">
        <f>IF(X31="n/a","","Approx. Vert. Hgt:")</f>
        <v>Approx. Vert. Hgt:</v>
      </c>
      <c r="J28" s="114" t="str">
        <f>IF(X31="n/a","",IF(ISBLANK(Y33),IF(E27="Rehabilitate Existing Bridge","n/a","-----"),AF44&amp;IF(X31="Yes"," (Streambed"," (Finished Grade")&amp;" to Finished Grade)"))</f>
        <v>6'-0" (Streambed to Finished Grade)</v>
      </c>
      <c r="K28" s="115"/>
      <c r="L28" s="101"/>
      <c r="M28" s="101"/>
      <c r="N28" s="101"/>
      <c r="O28" s="32"/>
      <c r="P28" s="30"/>
      <c r="Q28" s="36" t="s">
        <v>290</v>
      </c>
      <c r="R28" s="215">
        <f>IF(ISBLANK(R27),"-----",R27^0.4892*12.469)</f>
        <v>15.883025582254962</v>
      </c>
      <c r="S28" s="36" t="s">
        <v>294</v>
      </c>
      <c r="T28" s="30"/>
      <c r="U28" s="36"/>
      <c r="V28" s="36"/>
      <c r="W28" s="36"/>
      <c r="X28" s="36"/>
      <c r="Y28" s="36"/>
      <c r="Z28" s="36"/>
      <c r="AA28" s="36"/>
      <c r="AB28" s="36"/>
      <c r="AC28" s="36"/>
      <c r="AD28" s="36"/>
      <c r="AE28" s="189">
        <f>(AF27-INT(AF27))*$AK$9</f>
        <v>0</v>
      </c>
      <c r="AF28" s="47" t="str">
        <f>TEXT(TRUNC(ABS(AE27)),"#,##0")&amp;"'-"&amp;TEXT(TRUNC(AF27),"0")&amp;VLOOKUP(AE28,inches,3)</f>
        <v>23'-0"</v>
      </c>
      <c r="AG28" s="48" t="str">
        <f>IF(AE27=0,"0''",IF(AE27&lt;0,"-","")&amp;IF(TRUNC(ABS(AE27))=0,"",TEXT(TRUNC(ABS(AE27)),"#,##0")&amp;"'-")&amp;IF(AND(AE27&lt;1,AF27&lt;1),"",TEXT(TRUNC(AF27),"0"))&amp;VLOOKUP(AE28,inches,3))</f>
        <v>23'-0"</v>
      </c>
      <c r="AH28" s="126"/>
      <c r="AI28" s="55">
        <f t="shared" si="1"/>
        <v>18</v>
      </c>
      <c r="AJ28" s="56">
        <f>1/AK9+AJ27</f>
        <v>0.140625</v>
      </c>
      <c r="AK28" s="57" t="str">
        <f>" 9/"&amp;FIXED(AK9/2,0,FALSE)&amp;CHAR(34)</f>
        <v xml:space="preserve"> 9/64"</v>
      </c>
      <c r="AL28" s="45"/>
      <c r="AP28" s="3"/>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row>
    <row r="29" spans="1:100" ht="14.1" customHeight="1" x14ac:dyDescent="0.25">
      <c r="A29" s="13"/>
      <c r="B29" s="14"/>
      <c r="C29" s="121" t="s">
        <v>181</v>
      </c>
      <c r="D29" s="106"/>
      <c r="E29" s="101" t="str">
        <f>IF(E27="Rehabilitate Existing Bridge",IF(AND(ISBLANK(R33),ISBLANK(X34)),"n/a",AF25),IF(ISBLANK(X34),"-----",IF(X34="n/a","n/a",AF25)))</f>
        <v>27'-0"</v>
      </c>
      <c r="H29" s="106" t="s">
        <v>155</v>
      </c>
      <c r="J29" s="107" t="str">
        <f>IF(ISBLANK(X34),IF(E27="Rehabilitate Existing Bridge","n/a","-----"),IF(ISTEXT(X34),X34,AF21))</f>
        <v>24'-0"</v>
      </c>
      <c r="O29" s="32"/>
      <c r="P29" s="30"/>
      <c r="Q29" s="36" t="s">
        <v>291</v>
      </c>
      <c r="R29" s="58">
        <v>16</v>
      </c>
      <c r="S29" s="36" t="str">
        <f>"ft"&amp;IF(R29&gt;R28,"",IF(ISBLANK(T29),"            ===&gt;",""))</f>
        <v>ft</v>
      </c>
      <c r="T29" s="50"/>
      <c r="U29" s="50"/>
      <c r="V29" s="50"/>
      <c r="W29" s="50"/>
      <c r="X29" s="50"/>
      <c r="Y29" s="50"/>
      <c r="Z29" s="50"/>
      <c r="AA29" s="30"/>
      <c r="AB29" s="30"/>
      <c r="AC29" s="30"/>
      <c r="AD29" s="36"/>
      <c r="AE29" s="34" t="s">
        <v>79</v>
      </c>
      <c r="AF29" s="34"/>
      <c r="AG29" s="34"/>
      <c r="AH29" s="34"/>
      <c r="AI29" s="55">
        <f t="shared" si="1"/>
        <v>19</v>
      </c>
      <c r="AJ29" s="56">
        <f>1/AK9+AJ28</f>
        <v>0.1484375</v>
      </c>
      <c r="AK29" s="57" t="str">
        <f>" 19/"&amp;FIXED(AK9,0,FALSE)&amp;CHAR(34)</f>
        <v xml:space="preserve"> 19/128"</v>
      </c>
      <c r="AL29" s="45"/>
      <c r="AP29" s="3"/>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row>
    <row r="30" spans="1:100" ht="14.1" customHeight="1" x14ac:dyDescent="0.25">
      <c r="A30" s="13"/>
      <c r="B30" s="14"/>
      <c r="C30" s="121" t="s">
        <v>144</v>
      </c>
      <c r="D30" s="106"/>
      <c r="E30" s="101" t="str">
        <f>IF(E27="Rehabilitate Existing Bridge",IF(ISBLANK(R34),"n/a",R34&amp;CHAR(176)),IF(ISBLANK(R34),H21,R34&amp;CHAR(176)))</f>
        <v>30°</v>
      </c>
      <c r="F30" s="101"/>
      <c r="H30" s="106" t="s">
        <v>182</v>
      </c>
      <c r="J30" s="107" t="str">
        <f>IF(ISBLANK(X34),IF(E27="Rehabilitate Existing Bridge","n/a","-----"),IF(X34="n/a","n/a",AF28))</f>
        <v>23'-0"</v>
      </c>
      <c r="O30" s="32"/>
      <c r="P30" s="30"/>
      <c r="Q30" s="36" t="s">
        <v>286</v>
      </c>
      <c r="R30" s="199">
        <f>IF(ISBLANK(R27),"-----",1.2*R29+2)</f>
        <v>21.2</v>
      </c>
      <c r="S30" s="36" t="s">
        <v>0</v>
      </c>
      <c r="T30" s="36"/>
      <c r="U30" s="36"/>
      <c r="V30" s="36"/>
      <c r="W30" s="36"/>
      <c r="X30" s="36"/>
      <c r="Y30" s="36"/>
      <c r="Z30" s="36"/>
      <c r="AA30" s="36"/>
      <c r="AB30" s="36"/>
      <c r="AC30" s="36"/>
      <c r="AD30" s="36"/>
      <c r="AE30" s="41">
        <f>R38</f>
        <v>0</v>
      </c>
      <c r="AF30" s="159">
        <f>ROUND($AF$2*12*(AE30-INT(AE30)),0)/$AF$2</f>
        <v>0</v>
      </c>
      <c r="AG30" s="186"/>
      <c r="AH30" s="126"/>
      <c r="AI30" s="55">
        <f t="shared" si="1"/>
        <v>20</v>
      </c>
      <c r="AJ30" s="56">
        <f>1/AK9+AJ29</f>
        <v>0.15625</v>
      </c>
      <c r="AK30" s="57" t="str">
        <f>" 5/"&amp;FIXED(AK9/4,0,FALSE)&amp;CHAR(34)</f>
        <v xml:space="preserve"> 5/32"</v>
      </c>
      <c r="AL30" s="45"/>
      <c r="AP30" s="3"/>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row>
    <row r="31" spans="1:100" ht="14.1" customHeight="1" x14ac:dyDescent="0.25">
      <c r="A31" s="13"/>
      <c r="B31" s="14"/>
      <c r="C31" s="121" t="s">
        <v>156</v>
      </c>
      <c r="D31" s="108"/>
      <c r="E31" s="107" t="str">
        <f>IF(ISBLANK(R35),IF(E27="Rehabilitate Existing Bridge","n/a","-----"),R35&amp;IF(ISBLANK(R36),""," ("&amp;R36&amp;")"))</f>
        <v>No (Br Closed for Constr)</v>
      </c>
      <c r="F31" s="101"/>
      <c r="H31" s="106" t="s">
        <v>157</v>
      </c>
      <c r="J31" s="233" t="str">
        <f>IF(AND(ISBLANK(X37),ISBLANK(X38)),IF(E27="Rehabilitate Existing Bridge","n/a","----"),IF(ISTEXT(Y37),Y37,AF41&amp;" Total Length "&amp;IF(AND(OR(ISNUMBER(Y37),ISNUMBER(Y38)),OR(X37&lt;&gt;"",X38&lt;&gt;""))," ("&amp;AA37&amp;IF(OR(AA37="",AA38=""),"",", ")&amp;AA38&amp;")",IF(AND(AA37="",AA38=""),"","(")&amp;AA37&amp;IF(OR(AA37="",AA38=""),"",", ")&amp;AA38&amp;IF(AND(AA37="",AA38=""),"",")"))))</f>
        <v>300'-0" Total Length  (W. Appr.:  150',         E. Appr.:  150')</v>
      </c>
      <c r="K31" s="233"/>
      <c r="L31" s="233"/>
      <c r="M31" s="233"/>
      <c r="N31" s="233"/>
      <c r="O31" s="32"/>
      <c r="P31" s="30"/>
      <c r="Q31" s="36" t="s">
        <v>66</v>
      </c>
      <c r="R31" s="58">
        <v>22</v>
      </c>
      <c r="S31" s="36" t="s">
        <v>321</v>
      </c>
      <c r="T31" s="161" t="s">
        <v>319</v>
      </c>
      <c r="U31" s="36" t="s">
        <v>320</v>
      </c>
      <c r="V31" s="36"/>
      <c r="W31" s="165" t="s">
        <v>88</v>
      </c>
      <c r="X31" s="204" t="str">
        <f>IF(T31="Stream","Yes","No")</f>
        <v>Yes</v>
      </c>
      <c r="Y31" s="164" t="s">
        <v>197</v>
      </c>
      <c r="Z31" s="50"/>
      <c r="AA31" s="40" t="str">
        <f>IF(ISBLANK(Z31),IF(OR(X31="No",X31="n/a"),"",IF(E27="Rehabilitate Existing Bridge","The Waterway area will be unchanged by the proposed rehabiliation work.","The required waterway area for the proposed bridge was estimated.")&amp;"  A Hydraulic Study has not been done."),Z31)</f>
        <v>The required waterway area for the proposed bridge was estimated.  A Hydraulic Study has not been done.</v>
      </c>
      <c r="AB31" s="36"/>
      <c r="AC31" s="36"/>
      <c r="AD31" s="36"/>
      <c r="AE31" s="189">
        <f>(AF30-INT(AF30))*$AK$9</f>
        <v>0</v>
      </c>
      <c r="AF31" s="47" t="str">
        <f>TEXT(TRUNC(ABS(AE30)),"#,##0")&amp;"'-"&amp;TEXT(TRUNC(AF30),"0")&amp;VLOOKUP(AE31,inches,3)</f>
        <v>0'-0"</v>
      </c>
      <c r="AG31" s="48" t="str">
        <f>IF(AE30=0,"0''",IF(AE30&lt;0,"-","")&amp;IF(TRUNC(ABS(AE30))=0,"",TEXT(TRUNC(ABS(AE30)),"#,##0")&amp;"'-")&amp;IF(AND(AE30&lt;1,AF30&lt;1),"",TEXT(TRUNC(AF30),"0"))&amp;VLOOKUP(AE31,inches,3))</f>
        <v>0''</v>
      </c>
      <c r="AH31" s="126"/>
      <c r="AI31" s="55">
        <f t="shared" si="1"/>
        <v>21</v>
      </c>
      <c r="AJ31" s="56">
        <f>1/AK9+AJ30</f>
        <v>0.1640625</v>
      </c>
      <c r="AK31" s="57" t="str">
        <f>" 21/"&amp;FIXED(AK9,0,FALSE)&amp;CHAR(34)</f>
        <v xml:space="preserve"> 21/128"</v>
      </c>
      <c r="AL31" s="45"/>
      <c r="AP31" s="3"/>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row>
    <row r="32" spans="1:100" ht="14.1" customHeight="1" x14ac:dyDescent="0.25">
      <c r="A32" s="13"/>
      <c r="B32" s="14"/>
      <c r="C32" s="121" t="s">
        <v>158</v>
      </c>
      <c r="D32" s="106"/>
      <c r="E32" s="101" t="str">
        <f>IF(ISBLANK(R37),IF(E27="Rehabilitate Existing Bridge","n/a","-----"),R37&amp;IF(OR(R37="1 Side",R37="2 Sides")," ("&amp;AF31&amp;" Width)",""))</f>
        <v>None</v>
      </c>
      <c r="F32" s="101"/>
      <c r="G32" s="101"/>
      <c r="H32" s="101"/>
      <c r="J32" s="233"/>
      <c r="K32" s="233"/>
      <c r="L32" s="233"/>
      <c r="M32" s="233"/>
      <c r="N32" s="233"/>
      <c r="O32" s="32"/>
      <c r="P32" s="30"/>
      <c r="Q32" s="36" t="s">
        <v>343</v>
      </c>
      <c r="R32" s="58">
        <v>10</v>
      </c>
      <c r="S32" s="36" t="str">
        <f>"ft         (Normal to "&amp;T31&amp;")"</f>
        <v>ft         (Normal to Stream)</v>
      </c>
      <c r="T32" s="30"/>
      <c r="U32" s="36"/>
      <c r="V32" s="30"/>
      <c r="W32" s="30"/>
      <c r="X32" s="30"/>
      <c r="Y32" s="30"/>
      <c r="Z32" s="30"/>
      <c r="AA32" s="30"/>
      <c r="AB32" s="30"/>
      <c r="AC32" s="30"/>
      <c r="AD32" s="36"/>
      <c r="AE32" s="34" t="s">
        <v>85</v>
      </c>
      <c r="AF32" s="34"/>
      <c r="AG32" s="34"/>
      <c r="AH32" s="34"/>
      <c r="AI32" s="55">
        <f t="shared" si="1"/>
        <v>22</v>
      </c>
      <c r="AJ32" s="56">
        <f>1/AK9+AJ31</f>
        <v>0.171875</v>
      </c>
      <c r="AK32" s="57" t="str">
        <f>" 11/"&amp;FIXED(AK9/2,0,FALSE)&amp;CHAR(34)</f>
        <v xml:space="preserve"> 11/64"</v>
      </c>
      <c r="AL32" s="45"/>
      <c r="AP32" s="3"/>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row>
    <row r="33" spans="1:100" ht="14.1" customHeight="1" x14ac:dyDescent="0.25">
      <c r="A33" s="13"/>
      <c r="B33" s="14"/>
      <c r="C33" s="101"/>
      <c r="D33" s="101"/>
      <c r="E33" s="101"/>
      <c r="F33" s="115"/>
      <c r="G33" s="101"/>
      <c r="H33" s="101"/>
      <c r="I33" s="101"/>
      <c r="L33" s="101"/>
      <c r="M33" s="101"/>
      <c r="N33" s="101"/>
      <c r="O33" s="32"/>
      <c r="P33" s="30"/>
      <c r="Q33" s="36" t="s">
        <v>83</v>
      </c>
      <c r="R33" s="85"/>
      <c r="S33" s="36" t="s">
        <v>0</v>
      </c>
      <c r="T33" s="36"/>
      <c r="U33" s="36"/>
      <c r="V33" s="36"/>
      <c r="W33" s="36"/>
      <c r="X33" s="127" t="str">
        <f>IF(X31="Yes","Streambed","Finished Grade")&amp;" to Finished Grade Hgt:"</f>
        <v>Streambed to Finished Grade Hgt:</v>
      </c>
      <c r="Y33" s="58">
        <v>6</v>
      </c>
      <c r="Z33" s="36" t="s">
        <v>0</v>
      </c>
      <c r="AA33" s="36"/>
      <c r="AB33" s="36"/>
      <c r="AC33" s="36"/>
      <c r="AD33" s="36"/>
      <c r="AE33" s="41">
        <f>Y37</f>
        <v>150</v>
      </c>
      <c r="AF33" s="159">
        <f>ROUND($AF$2*12*(AE33-INT(AE33)),0)/$AF$2</f>
        <v>0</v>
      </c>
      <c r="AG33" s="186"/>
      <c r="AH33" s="126"/>
      <c r="AI33" s="55">
        <f t="shared" si="1"/>
        <v>23</v>
      </c>
      <c r="AJ33" s="56">
        <f>1/AK9+AJ32</f>
        <v>0.1796875</v>
      </c>
      <c r="AK33" s="57" t="str">
        <f>" 23/"&amp;FIXED(AK9,0,FALSE)&amp;CHAR(34)</f>
        <v xml:space="preserve"> 23/128"</v>
      </c>
      <c r="AL33" s="45"/>
      <c r="AP33" s="3"/>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row>
    <row r="34" spans="1:100" ht="14.1" customHeight="1" x14ac:dyDescent="0.25">
      <c r="A34" s="13"/>
      <c r="B34" s="14"/>
      <c r="C34" s="244" t="s">
        <v>108</v>
      </c>
      <c r="D34" s="244"/>
      <c r="E34" s="244"/>
      <c r="F34" s="244"/>
      <c r="G34" s="244"/>
      <c r="H34" s="244"/>
      <c r="I34" s="244"/>
      <c r="J34" s="244"/>
      <c r="K34" s="244"/>
      <c r="L34" s="244"/>
      <c r="M34" s="244"/>
      <c r="N34" s="129" t="str">
        <f>IF(Q41="off","","Unrnd'd")</f>
        <v/>
      </c>
      <c r="O34" s="32"/>
      <c r="P34" s="30"/>
      <c r="Q34" s="36" t="s">
        <v>55</v>
      </c>
      <c r="R34" s="58">
        <v>30</v>
      </c>
      <c r="S34" s="36" t="s">
        <v>56</v>
      </c>
      <c r="T34" s="36"/>
      <c r="U34" s="36"/>
      <c r="V34" s="36"/>
      <c r="W34" s="127" t="s">
        <v>289</v>
      </c>
      <c r="X34" s="58">
        <v>24</v>
      </c>
      <c r="Y34" s="36" t="s">
        <v>0</v>
      </c>
      <c r="Z34" s="36"/>
      <c r="AA34" s="36"/>
      <c r="AB34" s="36"/>
      <c r="AC34" s="36"/>
      <c r="AD34" s="36"/>
      <c r="AE34" s="189">
        <f>(AF33-INT(AF33))*$AK$9</f>
        <v>0</v>
      </c>
      <c r="AF34" s="47" t="str">
        <f>TEXT(TRUNC(ABS(AE33)),"#,##0")&amp;"'-"&amp;TEXT(TRUNC(AF33),"0")&amp;VLOOKUP(AE34,inches,3)</f>
        <v>150'-0"</v>
      </c>
      <c r="AG34" s="48" t="str">
        <f>IF(AE33=0,"0''",IF(AE33&lt;0,"-","")&amp;IF(TRUNC(ABS(AE33))=0,"",TEXT(TRUNC(ABS(AE33)),"#,##0")&amp;"'-")&amp;IF(AND(AE33&lt;1,AF33&lt;1),"",TEXT(TRUNC(AF33),"0"))&amp;VLOOKUP(AE34,inches,3))</f>
        <v>150'-0"</v>
      </c>
      <c r="AH34" s="126"/>
      <c r="AI34" s="55">
        <f t="shared" si="1"/>
        <v>24</v>
      </c>
      <c r="AJ34" s="56">
        <f>1/AK9+AJ33</f>
        <v>0.1875</v>
      </c>
      <c r="AK34" s="57" t="str">
        <f>" 3/"&amp;FIXED(AK9/8,0,FALSE)&amp;CHAR(34)</f>
        <v xml:space="preserve"> 3/16"</v>
      </c>
      <c r="AL34" s="45"/>
      <c r="AP34" s="3"/>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row>
    <row r="35" spans="1:100" ht="14.1" customHeight="1" x14ac:dyDescent="0.25">
      <c r="A35" s="13"/>
      <c r="B35" s="14"/>
      <c r="G35" s="101"/>
      <c r="H35" s="101"/>
      <c r="I35" s="101"/>
      <c r="N35" s="129" t="str">
        <f>IF(Q41="off","","Values")</f>
        <v/>
      </c>
      <c r="O35" s="32"/>
      <c r="P35" s="30"/>
      <c r="Q35" s="36" t="s">
        <v>80</v>
      </c>
      <c r="R35" s="58" t="s">
        <v>24</v>
      </c>
      <c r="S35" s="36"/>
      <c r="T35" s="36"/>
      <c r="U35" s="40"/>
      <c r="V35" s="40"/>
      <c r="W35" s="127" t="s">
        <v>84</v>
      </c>
      <c r="X35" s="85"/>
      <c r="Y35" s="36" t="s">
        <v>0</v>
      </c>
      <c r="Z35" s="36"/>
      <c r="AA35" s="36"/>
      <c r="AB35" s="36"/>
      <c r="AC35" s="36"/>
      <c r="AD35" s="36"/>
      <c r="AE35" s="34" t="s">
        <v>86</v>
      </c>
      <c r="AF35" s="34"/>
      <c r="AG35" s="34"/>
      <c r="AH35" s="34"/>
      <c r="AI35" s="55">
        <f t="shared" si="1"/>
        <v>25</v>
      </c>
      <c r="AJ35" s="56">
        <f>1/AK9+AJ34</f>
        <v>0.1953125</v>
      </c>
      <c r="AK35" s="57" t="str">
        <f>" 25/"&amp;FIXED(AK9,0,FALSE)&amp;CHAR(34)</f>
        <v xml:space="preserve"> 25/128"</v>
      </c>
      <c r="AL35" s="45"/>
      <c r="AP35" s="3"/>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row>
    <row r="36" spans="1:100" ht="14.1" customHeight="1" x14ac:dyDescent="0.25">
      <c r="A36" s="13"/>
      <c r="B36" s="14"/>
      <c r="C36" s="221" t="str">
        <f>"Bridge "&amp;IF(ISNUMBER($X$43),"Cost","Structure Cost"&amp;IF(R35="Yes"," (Phased)",""))</f>
        <v>Bridge Structure Cost</v>
      </c>
      <c r="D36" s="107"/>
      <c r="F36" s="101"/>
      <c r="G36" s="101"/>
      <c r="H36" s="217"/>
      <c r="I36" s="117"/>
      <c r="K36" s="118" t="str">
        <f>IF(ISNUMBER($X$43)," (Includes mobilization. See Notes for item list.)","["&amp;R31&amp;"’ +  "&amp;IF(T31="Stream",3,4)&amp;"("&amp;Y33&amp;"’)]"&amp;IF(IF(ISBLANK(R34),X20,R34)=0,""," / cos("&amp;IF(ISBLANK(R34),X20,R34)&amp;CHAR(176)&amp;")")&amp;"  x  "&amp;X34&amp;"’ "&amp;IF(R35="Yes","  x   1.25 ","")&amp;"x $"&amp;T42&amp;"/sf ≈")</f>
        <v>[22’ +  3(6’)] / cos(30°)  x  24’ x $200/sf ≈</v>
      </c>
      <c r="L36" s="249">
        <f>IF(ISNUMBER($X$43),X43,ROUNDUP((R31 + IF(T31="Stream",3,4)*Y33)/COS(RADIANS(IF(ISBLANK(R34),X20,R34))) * X34  *   IF(R35="Yes",1.25,1)   * T42,S56))</f>
        <v>230000</v>
      </c>
      <c r="M36" s="249"/>
      <c r="N36" s="123" t="str">
        <f>IF(Q41="off","",IF(ISNUMBER($X$43),X43,(R31+3*Y33)/COS(RADIANS(IF(ISBLANK(R34),X20,R34)))*X34*IF(R35="Yes",1.25,1)*T42))</f>
        <v/>
      </c>
      <c r="O36" s="32"/>
      <c r="P36" s="30"/>
      <c r="Q36" s="127" t="s">
        <v>216</v>
      </c>
      <c r="R36" s="50" t="s">
        <v>210</v>
      </c>
      <c r="S36" s="36"/>
      <c r="T36" s="36"/>
      <c r="U36" s="40"/>
      <c r="V36" s="40"/>
      <c r="W36" s="165" t="s">
        <v>64</v>
      </c>
      <c r="X36" s="141" t="s">
        <v>45</v>
      </c>
      <c r="Y36" s="141" t="s">
        <v>113</v>
      </c>
      <c r="Z36" s="141" t="s">
        <v>61</v>
      </c>
      <c r="AA36" s="40"/>
      <c r="AB36" s="36"/>
      <c r="AC36" s="36"/>
      <c r="AD36" s="36"/>
      <c r="AE36" s="41">
        <f>Y38</f>
        <v>150</v>
      </c>
      <c r="AF36" s="159">
        <f>ROUND($AF$2*12*(AE36-INT(AE36)),0)/$AF$2</f>
        <v>0</v>
      </c>
      <c r="AG36" s="186"/>
      <c r="AH36" s="126"/>
      <c r="AI36" s="55">
        <f t="shared" si="1"/>
        <v>26</v>
      </c>
      <c r="AJ36" s="56">
        <f>1/AK9+AJ35</f>
        <v>0.203125</v>
      </c>
      <c r="AK36" s="57" t="str">
        <f>" 13/"&amp;FIXED(AK9/2,0,FALSE)&amp;CHAR(34)</f>
        <v xml:space="preserve"> 13/64"</v>
      </c>
      <c r="AL36" s="45"/>
      <c r="AP36" s="3"/>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row>
    <row r="37" spans="1:100" ht="14.1" customHeight="1" x14ac:dyDescent="0.25">
      <c r="A37" s="13"/>
      <c r="B37" s="14"/>
      <c r="C37" s="122" t="s">
        <v>339</v>
      </c>
      <c r="D37" s="107"/>
      <c r="F37" s="101"/>
      <c r="G37" s="101"/>
      <c r="H37" s="217"/>
      <c r="I37" s="117"/>
      <c r="K37" s="118" t="str">
        <f>IF(ISNUMBER($X$43),"",TEXT(T43,"$0,000")&amp;"  +  "&amp;TEXT(T44,"$0,000")&amp;" ≈")</f>
        <v>$20,000  +  $10,000 ≈</v>
      </c>
      <c r="L37" s="249">
        <f>IF(ISNUMBER($X$43),0,ROUNDUP(T43     +     T44,S56))</f>
        <v>30000</v>
      </c>
      <c r="M37" s="249"/>
      <c r="N37" s="123" t="str">
        <f>IF(Q41="off","",IF(ISNUMBER($X$43),0,T43+T44))</f>
        <v/>
      </c>
      <c r="O37" s="32"/>
      <c r="P37" s="30"/>
      <c r="Q37" s="36" t="s">
        <v>75</v>
      </c>
      <c r="R37" s="58" t="s">
        <v>57</v>
      </c>
      <c r="S37" s="36"/>
      <c r="T37" s="36"/>
      <c r="U37" s="40"/>
      <c r="V37" s="40"/>
      <c r="W37" s="140" t="s">
        <v>111</v>
      </c>
      <c r="X37" s="161" t="s">
        <v>103</v>
      </c>
      <c r="Y37" s="161">
        <v>150</v>
      </c>
      <c r="Z37" s="162"/>
      <c r="AA37" s="40" t="str">
        <f>IF(OR(X37="Not Included",X38="Not Included"),"Not Included",IF(COUNTA(X37:X38)+COUNTA(Z37:Z38)=0,"",IF(ISBLANK(Y37),"",IF(AND(ISBLANK(X37),ISBLANK(Y37)),"",X37&amp;IF(OR(ISBLANK(Y37),ISBLANK(Y38)),"",":  "&amp;TEXT(Y37,"#,###")&amp;"'")&amp;IF(ISBLANK(Z37),""," "&amp;Z37)))))</f>
        <v>W. Appr.:  150'</v>
      </c>
      <c r="AB37" s="36"/>
      <c r="AC37" s="36"/>
      <c r="AD37" s="36"/>
      <c r="AE37" s="189">
        <f>(AF36-INT(AF36))*$AK$9</f>
        <v>0</v>
      </c>
      <c r="AF37" s="47" t="str">
        <f>TEXT(TRUNC(ABS(AE36)),"#,##0")&amp;"'-"&amp;TEXT(TRUNC(AF36),"0")&amp;VLOOKUP(AE37,inches,3)</f>
        <v>150'-0"</v>
      </c>
      <c r="AG37" s="48" t="str">
        <f>IF(AE36=0,"0''",IF(AE36&lt;0,"-","")&amp;IF(TRUNC(ABS(AE36))=0,"",TEXT(TRUNC(ABS(AE36)),"#,##0")&amp;"'-")&amp;IF(AND(AE36&lt;1,AF36&lt;1),"",TEXT(TRUNC(AF36),"0"))&amp;VLOOKUP(AE37,inches,3))</f>
        <v>150'-0"</v>
      </c>
      <c r="AH37" s="126"/>
      <c r="AI37" s="55">
        <f t="shared" si="1"/>
        <v>27</v>
      </c>
      <c r="AJ37" s="56">
        <f>1/AK9+AJ36</f>
        <v>0.2109375</v>
      </c>
      <c r="AK37" s="57" t="str">
        <f>" 27/"&amp;FIXED(AK9,0,FALSE)&amp;CHAR(34)</f>
        <v xml:space="preserve"> 27/128"</v>
      </c>
      <c r="AL37" s="45"/>
      <c r="AP37" s="3"/>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row>
    <row r="38" spans="1:100" ht="14.1" customHeight="1" thickBot="1" x14ac:dyDescent="0.3">
      <c r="A38" s="13"/>
      <c r="B38" s="14"/>
      <c r="C38" s="122" t="str">
        <f>"Approach Cost"&amp;IF(ISNUMBER($X$45),"  (Includes mobilization)",IF(OR(X37="Not Included",X38="Not Included"),"  -  Not Included"," (Includes mobil.)"))</f>
        <v>Approach Cost (Includes mobil.)</v>
      </c>
      <c r="D38" s="107"/>
      <c r="E38" s="107"/>
      <c r="F38" s="107"/>
      <c r="G38" s="107"/>
      <c r="H38" s="107"/>
      <c r="I38" s="107"/>
      <c r="J38" s="107"/>
      <c r="K38" s="118" t="str">
        <f>IF(ISNUMBER($X$45),"","["&amp;TEXT(AE40,"#,###")&amp;"’ x $"&amp;TEXT(T45,"#,###")&amp;"/lf  x "&amp;1+T46&amp;"] "&amp;IF(ISBLANK(X43),"+ ["&amp;T46&amp;" x ($"&amp;TEXT(L36,"#,###")&amp;" +$"&amp;TEXT(L37,"#,###")&amp;") ]","")&amp;"≈")</f>
        <v>[300’ x $200/lf  x 1.08] + [0.08 x ($230,000 +$30,000) ]≈</v>
      </c>
      <c r="L38" s="249">
        <f>IF(OR(X37="Not Included",X38="Not Included"),"$   --------",IF(ISNUMBER($X$45),IF(X45=0,"$   --------",X45),ROUNDUP((AE40*T45*(1+T46))+IF(ISBLANK(X43),(T46*(L36+L37)),0),S56)))</f>
        <v>90000</v>
      </c>
      <c r="M38" s="249"/>
      <c r="N38" s="123" t="str">
        <f>IF(Q41="off","",IF(ISNUMBER($X$45),IF(X45=0,"$   --------",X45),(AE40*T45*(1+T46))+(T46*(L36+L37))))</f>
        <v/>
      </c>
      <c r="O38" s="32"/>
      <c r="P38" s="30"/>
      <c r="Q38" s="36" t="s">
        <v>78</v>
      </c>
      <c r="R38" s="58"/>
      <c r="S38" s="36" t="s">
        <v>0</v>
      </c>
      <c r="T38" s="36"/>
      <c r="U38" s="40"/>
      <c r="V38" s="40"/>
      <c r="W38" s="140" t="s">
        <v>112</v>
      </c>
      <c r="X38" s="161" t="s">
        <v>102</v>
      </c>
      <c r="Y38" s="161">
        <v>150</v>
      </c>
      <c r="Z38" s="163"/>
      <c r="AA38" s="40" t="str">
        <f>IF(COUNTA(X37:X38)+COUNTA(Z37:Z38)=0,"",IF(ISBLANK(Y38),"",IF(AND(ISBLANK(X38),ISBLANK(Y38)),"",IF(OR(ISBLANK(Y37),ISTEXT(Z37)),"","        ")&amp;X38&amp;IF(OR(ISBLANK(Y38),ISBLANK(Y37)),"",":  "&amp;TEXT(Y38,"#,###")&amp;"'")&amp;IF(ISBLANK(Z38),""," "&amp;Z38))))</f>
        <v xml:space="preserve">        E. Appr.:  150'</v>
      </c>
      <c r="AB38" s="36"/>
      <c r="AC38" s="36"/>
      <c r="AD38" s="36"/>
      <c r="AE38" s="220"/>
      <c r="AF38" s="126"/>
      <c r="AG38" s="126"/>
      <c r="AH38" s="126"/>
      <c r="AI38" s="55"/>
      <c r="AJ38" s="56"/>
      <c r="AK38" s="57"/>
      <c r="AL38" s="45"/>
      <c r="AP38" s="3"/>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row>
    <row r="39" spans="1:100" ht="14.1" customHeight="1" thickBot="1" x14ac:dyDescent="0.3">
      <c r="A39" s="13"/>
      <c r="B39" s="14"/>
      <c r="C39" s="122" t="s">
        <v>117</v>
      </c>
      <c r="D39" s="107"/>
      <c r="E39" s="107"/>
      <c r="F39" s="101"/>
      <c r="G39" s="101"/>
      <c r="H39" s="101"/>
      <c r="I39" s="101"/>
      <c r="J39" s="222"/>
      <c r="K39" s="222"/>
      <c r="L39" s="249">
        <f>IF(ISBLANK(T50),ROUNDUP(V50*(IF(ISTEXT(L36),0,L36+L37)+IF(ISTEXT(L38),0,L38)),S56),IF(T50=0,"$   --------",T50))</f>
        <v>40000</v>
      </c>
      <c r="M39" s="249"/>
      <c r="N39" s="123" t="str">
        <f>IF(Q41="off","",IF(ISBLANK(T50),V50*(IF(ISTEXT(L36),0,L36+L37)+IF(ISTEXT(L38),0,L38)),IF(T50=0,"$   --------",T50)))</f>
        <v/>
      </c>
      <c r="O39" s="32"/>
      <c r="P39" s="30"/>
      <c r="Q39" s="36"/>
      <c r="R39" s="36"/>
      <c r="S39" s="36"/>
      <c r="T39" s="36"/>
      <c r="U39" s="252" t="str">
        <f>IF(AND(ISNUMBER(Y37),ISNUMBER(Y38)),IF(AND(ISBLANK(X37),ISBLANK(X38)),"",IF(OR(ISBLANK(X37),ISBLANK(X38)),"*** Missing Approach Designation! ***","")),"")</f>
        <v/>
      </c>
      <c r="V39" s="253"/>
      <c r="W39" s="253"/>
      <c r="X39" s="253"/>
      <c r="Y39" s="254"/>
      <c r="Z39" s="40"/>
      <c r="AA39" s="40"/>
      <c r="AB39" s="36"/>
      <c r="AC39" s="36"/>
      <c r="AD39" s="36"/>
      <c r="AE39" s="34" t="s">
        <v>87</v>
      </c>
      <c r="AF39" s="34"/>
      <c r="AG39" s="34"/>
      <c r="AH39" s="34"/>
      <c r="AI39" s="55">
        <f>1+AI37</f>
        <v>28</v>
      </c>
      <c r="AJ39" s="56">
        <f>1/AK9+AJ37</f>
        <v>0.21875</v>
      </c>
      <c r="AK39" s="57" t="str">
        <f>" 7/"&amp;FIXED(AK9/4,0,FALSE)&amp;CHAR(34)</f>
        <v xml:space="preserve"> 7/32"</v>
      </c>
      <c r="AL39" s="45"/>
      <c r="AP39" s="3"/>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row>
    <row r="40" spans="1:100" ht="14.1" customHeight="1" x14ac:dyDescent="0.25">
      <c r="A40" s="13"/>
      <c r="B40" s="14"/>
      <c r="C40" s="122" t="str">
        <f>"Temporary "&amp;IF(X26="Yes","Bridge","Detour")&amp;" Cost"</f>
        <v>Temporary Detour Cost</v>
      </c>
      <c r="D40" s="107"/>
      <c r="E40" s="107"/>
      <c r="F40" s="101"/>
      <c r="G40" s="101"/>
      <c r="H40" s="101"/>
      <c r="I40" s="101"/>
      <c r="J40" s="101"/>
      <c r="K40" s="101"/>
      <c r="L40" s="251" t="str">
        <f>IF(T51=0,"$   --------",T51)</f>
        <v>$   --------</v>
      </c>
      <c r="M40" s="251"/>
      <c r="N40" s="123" t="str">
        <f>IF(Q$41="off","",L40)</f>
        <v/>
      </c>
      <c r="O40" s="32"/>
      <c r="P40" s="30"/>
      <c r="Q40" s="36"/>
      <c r="R40" s="36"/>
      <c r="S40" s="36"/>
      <c r="T40" s="36"/>
      <c r="U40" s="36"/>
      <c r="V40" s="36"/>
      <c r="W40" s="36"/>
      <c r="X40" s="36"/>
      <c r="Y40" s="36"/>
      <c r="Z40" s="10"/>
      <c r="AA40" s="36"/>
      <c r="AB40" s="36"/>
      <c r="AC40" s="36"/>
      <c r="AD40" s="36"/>
      <c r="AE40" s="41">
        <f>Y37+Y38</f>
        <v>300</v>
      </c>
      <c r="AF40" s="159">
        <f>ROUND($AF$2*12*(AE40-INT(AE40)),0)/$AF$2</f>
        <v>0</v>
      </c>
      <c r="AG40" s="186"/>
      <c r="AH40" s="126"/>
      <c r="AI40" s="55">
        <f t="shared" si="1"/>
        <v>29</v>
      </c>
      <c r="AJ40" s="56">
        <f>1/AK9+AJ39</f>
        <v>0.2265625</v>
      </c>
      <c r="AK40" s="57" t="str">
        <f>" 29/"&amp;FIXED(AK9,0,FALSE)&amp;CHAR(34)</f>
        <v xml:space="preserve"> 29/128"</v>
      </c>
      <c r="AL40" s="45"/>
      <c r="AP40" s="3"/>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row>
    <row r="41" spans="1:100" ht="14.1" customHeight="1" x14ac:dyDescent="0.25">
      <c r="A41" s="13"/>
      <c r="B41" s="14"/>
      <c r="C41" s="122"/>
      <c r="D41" s="101"/>
      <c r="E41" s="107"/>
      <c r="F41" s="101"/>
      <c r="G41" s="101"/>
      <c r="H41" s="101"/>
      <c r="I41" s="101"/>
      <c r="J41" s="101"/>
      <c r="K41" s="118" t="s">
        <v>18</v>
      </c>
      <c r="L41" s="250">
        <f>SUM(L36:L40)</f>
        <v>390000</v>
      </c>
      <c r="M41" s="250"/>
      <c r="N41" s="123" t="str">
        <f>IF(Q41="off","",SUM(N36:N40))</f>
        <v/>
      </c>
      <c r="O41" s="32"/>
      <c r="P41" s="30"/>
      <c r="Q41" s="58" t="s">
        <v>161</v>
      </c>
      <c r="R41" s="7" t="s">
        <v>133</v>
      </c>
      <c r="S41" s="7"/>
      <c r="T41" s="36"/>
      <c r="U41" s="67"/>
      <c r="V41" s="67"/>
      <c r="W41" s="7"/>
      <c r="X41" s="211" t="s">
        <v>329</v>
      </c>
      <c r="Y41" s="36"/>
      <c r="Z41" s="10"/>
      <c r="AA41" s="10"/>
      <c r="AB41" s="36"/>
      <c r="AC41" s="36"/>
      <c r="AD41" s="36"/>
      <c r="AE41" s="189">
        <f>(AF40-INT(AF40))*$AK$9</f>
        <v>0</v>
      </c>
      <c r="AF41" s="47" t="str">
        <f>TEXT(TRUNC(ABS(AE40)),"#,##0")&amp;"'-"&amp;TEXT(TRUNC(AF40),"0")&amp;VLOOKUP(AE41,inches,3)</f>
        <v>300'-0"</v>
      </c>
      <c r="AG41" s="48" t="str">
        <f>IF(AE40=0,"0''",IF(AE40&lt;0,"-","")&amp;IF(TRUNC(ABS(AE40))=0,"",TEXT(TRUNC(ABS(AE40)),"#,##0")&amp;"'-")&amp;IF(AND(AE40&lt;1,AF40&lt;1),"",TEXT(TRUNC(AF40),"0"))&amp;VLOOKUP(AE41,inches,3))</f>
        <v>300'-0"</v>
      </c>
      <c r="AH41" s="126"/>
      <c r="AI41" s="55">
        <f t="shared" si="1"/>
        <v>30</v>
      </c>
      <c r="AJ41" s="56">
        <f>1/AK9+AJ40</f>
        <v>0.234375</v>
      </c>
      <c r="AK41" s="57" t="str">
        <f>" 15/"&amp;FIXED(AK9/2,0,FALSE)&amp;CHAR(34)</f>
        <v xml:space="preserve"> 15/64"</v>
      </c>
      <c r="AL41" s="45"/>
      <c r="AP41" s="3"/>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row>
    <row r="42" spans="1:100" ht="14.1" customHeight="1" x14ac:dyDescent="0.25">
      <c r="A42" s="13"/>
      <c r="B42" s="14"/>
      <c r="C42" s="122"/>
      <c r="D42" s="101"/>
      <c r="E42" s="101"/>
      <c r="F42" s="101"/>
      <c r="G42" s="101"/>
      <c r="H42" s="101"/>
      <c r="I42" s="101"/>
      <c r="J42" s="101"/>
      <c r="K42" s="101"/>
      <c r="N42" s="123"/>
      <c r="O42" s="32"/>
      <c r="P42" s="30"/>
      <c r="Q42" s="7"/>
      <c r="R42" s="60"/>
      <c r="S42" s="60" t="s">
        <v>89</v>
      </c>
      <c r="T42" s="229">
        <v>200</v>
      </c>
      <c r="U42" s="67" t="s">
        <v>94</v>
      </c>
      <c r="V42" s="67"/>
      <c r="W42" s="10"/>
      <c r="X42" s="216" t="s">
        <v>330</v>
      </c>
      <c r="Y42" s="36"/>
      <c r="Z42" s="10"/>
      <c r="AA42" s="10"/>
      <c r="AB42" s="36"/>
      <c r="AC42" s="36"/>
      <c r="AD42" s="36"/>
      <c r="AE42" s="34" t="str">
        <f>X33</f>
        <v>Streambed to Finished Grade Hgt:</v>
      </c>
      <c r="AF42" s="34"/>
      <c r="AG42" s="34"/>
      <c r="AH42" s="34"/>
      <c r="AI42" s="55">
        <f t="shared" si="1"/>
        <v>31</v>
      </c>
      <c r="AJ42" s="56">
        <f>1/AK9+AJ41</f>
        <v>0.2421875</v>
      </c>
      <c r="AK42" s="57" t="str">
        <f>" 31/"&amp;FIXED(AK9,0,FALSE)&amp;CHAR(34)</f>
        <v xml:space="preserve"> 31/128"</v>
      </c>
      <c r="AL42" s="45"/>
      <c r="AP42" s="3"/>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row>
    <row r="43" spans="1:100" ht="11.25" customHeight="1" x14ac:dyDescent="0.25">
      <c r="A43" s="13"/>
      <c r="B43" s="14"/>
      <c r="C43" s="122" t="s">
        <v>19</v>
      </c>
      <c r="D43" s="107"/>
      <c r="E43" s="107"/>
      <c r="F43" s="107"/>
      <c r="G43" s="101"/>
      <c r="H43" s="101"/>
      <c r="I43" s="101"/>
      <c r="J43" s="101"/>
      <c r="K43" s="101"/>
      <c r="L43" s="249">
        <f>CEILING(IF(ISBLANK(T52),ROUNDUP(L41*V52,S56),IF(T52=0,"$   --------",T52)),10000)</f>
        <v>90000</v>
      </c>
      <c r="M43" s="249"/>
      <c r="N43" s="123" t="str">
        <f>IF(Q41="off","",IF(ISBLANK(T52),L41*V52,IF(T52=0,"$   --------",T52)))</f>
        <v/>
      </c>
      <c r="O43" s="32"/>
      <c r="P43" s="30"/>
      <c r="Q43" s="127" t="s">
        <v>132</v>
      </c>
      <c r="R43" s="60"/>
      <c r="S43" s="60" t="s">
        <v>90</v>
      </c>
      <c r="T43" s="84">
        <v>20000</v>
      </c>
      <c r="U43" s="67" t="s">
        <v>95</v>
      </c>
      <c r="V43" s="67"/>
      <c r="W43" s="211" t="s">
        <v>331</v>
      </c>
      <c r="X43" s="84"/>
      <c r="Y43" s="36"/>
      <c r="Z43" s="36"/>
      <c r="AA43" s="10"/>
      <c r="AB43" s="36"/>
      <c r="AC43" s="36"/>
      <c r="AD43" s="36"/>
      <c r="AE43" s="41">
        <f>Y33</f>
        <v>6</v>
      </c>
      <c r="AF43" s="159">
        <f>ROUND($AF$2*12*(AE43-INT(AE43)),0)/$AF$2</f>
        <v>0</v>
      </c>
      <c r="AG43" s="186"/>
      <c r="AH43" s="126"/>
      <c r="AI43" s="68">
        <f t="shared" si="1"/>
        <v>32</v>
      </c>
      <c r="AJ43" s="69">
        <f>1/AK9+AJ42</f>
        <v>0.25</v>
      </c>
      <c r="AK43" s="70" t="str">
        <f>" 1/"&amp;FIXED(AK9/32,0,FALSE)&amp;CHAR(34)</f>
        <v xml:space="preserve"> 1/4"</v>
      </c>
      <c r="AL43" s="45"/>
      <c r="AP43" s="3"/>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row>
    <row r="44" spans="1:100" ht="14.1" customHeight="1" x14ac:dyDescent="0.25">
      <c r="A44" s="13"/>
      <c r="B44" s="14"/>
      <c r="C44" s="122" t="s">
        <v>20</v>
      </c>
      <c r="D44" s="107"/>
      <c r="E44" s="107"/>
      <c r="F44" s="107"/>
      <c r="G44" s="107"/>
      <c r="H44" s="107"/>
      <c r="I44" s="101"/>
      <c r="J44" s="101"/>
      <c r="K44" s="101"/>
      <c r="L44" s="249">
        <f>IF(T53=0,"$   --------",T53)</f>
        <v>10000</v>
      </c>
      <c r="M44" s="249"/>
      <c r="N44" s="123" t="str">
        <f>IF(Q$41="off","",L44)</f>
        <v/>
      </c>
      <c r="O44" s="32"/>
      <c r="P44" s="30"/>
      <c r="Q44" s="7"/>
      <c r="R44" s="60"/>
      <c r="S44" s="60" t="s">
        <v>91</v>
      </c>
      <c r="T44" s="84">
        <v>10000</v>
      </c>
      <c r="U44" s="67" t="s">
        <v>95</v>
      </c>
      <c r="V44" s="67"/>
      <c r="W44" s="36"/>
      <c r="X44" s="36"/>
      <c r="Y44" s="36"/>
      <c r="Z44" s="36"/>
      <c r="AA44" s="36"/>
      <c r="AB44" s="36"/>
      <c r="AC44" s="36"/>
      <c r="AD44" s="36"/>
      <c r="AE44" s="189">
        <f>(AF43-INT(AF43))*$AK$9</f>
        <v>0</v>
      </c>
      <c r="AF44" s="47" t="str">
        <f>TEXT(TRUNC(ABS(AE43)),"#,##0")&amp;"'-"&amp;TEXT(TRUNC(AF43),"0")&amp;VLOOKUP(AE44,inches,3)</f>
        <v>6'-0"</v>
      </c>
      <c r="AG44" s="48" t="str">
        <f>IF(AE43=0,"0''",IF(AE43&lt;0,"-","")&amp;IF(TRUNC(ABS(AE43))=0,"",TEXT(TRUNC(ABS(AE43)),"#,##0")&amp;"'-")&amp;IF(AND(AE43&lt;1,AF43&lt;1),"",TEXT(TRUNC(AF43),"0"))&amp;VLOOKUP(AE44,inches,3))</f>
        <v>6'-0"</v>
      </c>
      <c r="AH44" s="126"/>
      <c r="AI44" s="55">
        <f t="shared" ref="AI44:AI53" si="2">1+AI43</f>
        <v>33</v>
      </c>
      <c r="AJ44" s="56">
        <f>1/AK9+AJ43</f>
        <v>0.2578125</v>
      </c>
      <c r="AK44" s="57" t="str">
        <f>" 33/"&amp;FIXED(AK9,0,FALSE)&amp;CHAR(34)</f>
        <v xml:space="preserve"> 33/128"</v>
      </c>
      <c r="AL44" s="45"/>
      <c r="AP44" s="3"/>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row>
    <row r="45" spans="1:100" ht="14.1" customHeight="1" x14ac:dyDescent="0.25">
      <c r="A45" s="13"/>
      <c r="B45" s="14"/>
      <c r="C45" s="122" t="s">
        <v>118</v>
      </c>
      <c r="D45" s="107"/>
      <c r="E45" s="107"/>
      <c r="F45" s="107"/>
      <c r="G45" s="107"/>
      <c r="H45" s="107"/>
      <c r="I45" s="101"/>
      <c r="J45" s="101"/>
      <c r="K45" s="101"/>
      <c r="L45" s="249">
        <f>IF(ISBLANK(T54),ROUNDUP(L41*V54,S56),IF(T54=0,"$   --------",T54))</f>
        <v>60000</v>
      </c>
      <c r="M45" s="249"/>
      <c r="N45" s="123" t="str">
        <f>IF(Q41="off","",IF(ISBLANK(T54),L41*V54,IF(T54=0,"$   --------",T54)))</f>
        <v/>
      </c>
      <c r="O45" s="32"/>
      <c r="P45" s="30"/>
      <c r="Q45" s="7"/>
      <c r="R45" s="60"/>
      <c r="S45" s="60" t="s">
        <v>93</v>
      </c>
      <c r="T45" s="229">
        <v>200</v>
      </c>
      <c r="U45" s="67" t="s">
        <v>185</v>
      </c>
      <c r="V45" s="67"/>
      <c r="W45" s="211" t="s">
        <v>331</v>
      </c>
      <c r="X45" s="84"/>
      <c r="Y45" s="36"/>
      <c r="Z45" s="36"/>
      <c r="AA45" s="36"/>
      <c r="AB45" s="36"/>
      <c r="AC45" s="36"/>
      <c r="AD45" s="36"/>
      <c r="AE45" s="36" t="s">
        <v>36</v>
      </c>
      <c r="AF45" s="36"/>
      <c r="AG45" s="36"/>
      <c r="AH45" s="36"/>
      <c r="AI45" s="55">
        <f t="shared" si="2"/>
        <v>34</v>
      </c>
      <c r="AJ45" s="56">
        <f>1/AK9+AJ44</f>
        <v>0.265625</v>
      </c>
      <c r="AK45" s="57" t="str">
        <f>" 17/"&amp;FIXED(AK9/2,0,FALSE)&amp;CHAR(34)</f>
        <v xml:space="preserve"> 17/64"</v>
      </c>
      <c r="AL45" s="45"/>
      <c r="AP45" s="3"/>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row>
    <row r="46" spans="1:100" ht="14.1" customHeight="1" x14ac:dyDescent="0.25">
      <c r="A46" s="13"/>
      <c r="B46" s="14"/>
      <c r="C46" s="122" t="s">
        <v>21</v>
      </c>
      <c r="D46" s="107"/>
      <c r="E46" s="107"/>
      <c r="F46" s="107"/>
      <c r="G46" s="107"/>
      <c r="H46" s="107"/>
      <c r="I46" s="101"/>
      <c r="J46" s="101"/>
      <c r="K46" s="101"/>
      <c r="L46" s="251">
        <f>IF(T55=0,"$   --------",T55)</f>
        <v>5000</v>
      </c>
      <c r="M46" s="251"/>
      <c r="N46" s="123" t="str">
        <f>IF(Q$41="off","",L46)</f>
        <v/>
      </c>
      <c r="O46" s="32"/>
      <c r="P46" s="30"/>
      <c r="Q46" s="7"/>
      <c r="R46" s="60"/>
      <c r="S46" s="60" t="s">
        <v>96</v>
      </c>
      <c r="T46" s="218">
        <v>0.08</v>
      </c>
      <c r="U46" s="36"/>
      <c r="V46" s="36"/>
      <c r="W46" s="36"/>
      <c r="X46" s="36"/>
      <c r="Y46" s="36"/>
      <c r="Z46" s="36"/>
      <c r="AA46" s="36"/>
      <c r="AB46" s="36"/>
      <c r="AC46" s="36"/>
      <c r="AD46" s="71"/>
      <c r="AE46" s="99" t="s">
        <v>115</v>
      </c>
      <c r="AF46" s="71" t="s">
        <v>160</v>
      </c>
      <c r="AG46" s="71" t="s">
        <v>57</v>
      </c>
      <c r="AH46" s="36"/>
      <c r="AI46" s="55">
        <f t="shared" si="2"/>
        <v>35</v>
      </c>
      <c r="AJ46" s="56">
        <f>1/AK9+AJ45</f>
        <v>0.2734375</v>
      </c>
      <c r="AK46" s="57" t="str">
        <f>" 35/"&amp;FIXED(AK9,0,FALSE)&amp;CHAR(34)</f>
        <v xml:space="preserve"> 35/128"</v>
      </c>
      <c r="AL46" s="45"/>
      <c r="AP46" s="3"/>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row>
    <row r="47" spans="1:100" ht="14.1" customHeight="1" x14ac:dyDescent="0.25">
      <c r="A47" s="13"/>
      <c r="B47" s="14"/>
      <c r="C47" s="101"/>
      <c r="D47" s="101"/>
      <c r="E47" s="107"/>
      <c r="F47" s="107"/>
      <c r="G47" s="107"/>
      <c r="H47" s="107"/>
      <c r="I47" s="107"/>
      <c r="J47" s="101"/>
      <c r="K47" s="118" t="s">
        <v>18</v>
      </c>
      <c r="L47" s="250">
        <f>SUM(L43:L46)</f>
        <v>165000</v>
      </c>
      <c r="M47" s="250"/>
      <c r="N47" s="123" t="str">
        <f>IF(Q$41="off","",SUM(N43:N46))</f>
        <v/>
      </c>
      <c r="O47" s="32"/>
      <c r="P47" s="30"/>
      <c r="Q47" s="7"/>
      <c r="R47" s="7"/>
      <c r="S47" s="7"/>
      <c r="T47" s="7"/>
      <c r="U47" s="36"/>
      <c r="V47" s="36"/>
      <c r="W47" s="36"/>
      <c r="X47" s="36"/>
      <c r="Y47" s="36"/>
      <c r="Z47" s="36"/>
      <c r="AA47" s="36"/>
      <c r="AB47" s="36"/>
      <c r="AC47" s="36"/>
      <c r="AD47" s="73" t="s">
        <v>209</v>
      </c>
      <c r="AE47" s="100" t="s">
        <v>25</v>
      </c>
      <c r="AF47" s="73" t="s">
        <v>23</v>
      </c>
      <c r="AG47" s="73" t="s">
        <v>59</v>
      </c>
      <c r="AH47" s="36"/>
      <c r="AI47" s="55">
        <f t="shared" si="2"/>
        <v>36</v>
      </c>
      <c r="AJ47" s="56">
        <f>1/AK9+AJ46</f>
        <v>0.28125</v>
      </c>
      <c r="AK47" s="57" t="str">
        <f>" 9/"&amp;FIXED(AK9/4,0,FALSE)&amp;CHAR(34)</f>
        <v xml:space="preserve"> 9/32"</v>
      </c>
      <c r="AL47" s="45"/>
      <c r="AP47" s="3"/>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row>
    <row r="48" spans="1:100" ht="14.1" customHeight="1" x14ac:dyDescent="0.25">
      <c r="A48" s="13"/>
      <c r="B48" s="14"/>
      <c r="C48" s="119" t="s">
        <v>116</v>
      </c>
      <c r="D48" s="119"/>
      <c r="E48" s="107"/>
      <c r="F48" s="107"/>
      <c r="G48" s="107"/>
      <c r="H48" s="107"/>
      <c r="I48" s="107"/>
      <c r="J48" s="107"/>
      <c r="K48" s="258">
        <f>L41+L47</f>
        <v>555000</v>
      </c>
      <c r="L48" s="258"/>
      <c r="M48" s="258"/>
      <c r="N48" s="123" t="str">
        <f>IF(Q$41="off","",N41+N47)</f>
        <v/>
      </c>
      <c r="O48" s="32"/>
      <c r="P48" s="30"/>
      <c r="Q48" s="7"/>
      <c r="R48" s="7" t="s">
        <v>133</v>
      </c>
      <c r="S48" s="7"/>
      <c r="T48" s="7"/>
      <c r="U48" s="36"/>
      <c r="V48" s="36"/>
      <c r="W48" s="36"/>
      <c r="X48" s="36"/>
      <c r="Y48" s="36"/>
      <c r="Z48" s="36"/>
      <c r="AA48" s="36"/>
      <c r="AB48" s="36"/>
      <c r="AC48" s="36"/>
      <c r="AD48" s="73" t="s">
        <v>210</v>
      </c>
      <c r="AE48" s="100" t="s">
        <v>114</v>
      </c>
      <c r="AF48" s="73" t="s">
        <v>42</v>
      </c>
      <c r="AG48" s="73" t="s">
        <v>60</v>
      </c>
      <c r="AH48" s="36"/>
      <c r="AI48" s="55">
        <f t="shared" si="2"/>
        <v>37</v>
      </c>
      <c r="AJ48" s="56">
        <f>1/AK9+AJ47</f>
        <v>0.2890625</v>
      </c>
      <c r="AK48" s="57" t="str">
        <f>" 37/"&amp;FIXED(AK9,0,FALSE)&amp;CHAR(34)</f>
        <v xml:space="preserve"> 37/128"</v>
      </c>
      <c r="AL48" s="45"/>
      <c r="AP48" s="3"/>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row>
    <row r="49" spans="1:100" ht="14.1" customHeight="1" x14ac:dyDescent="0.25">
      <c r="A49" s="13"/>
      <c r="B49" s="14"/>
      <c r="C49" s="101"/>
      <c r="D49" s="101"/>
      <c r="E49" s="101"/>
      <c r="F49" s="101"/>
      <c r="G49" s="101"/>
      <c r="H49" s="101"/>
      <c r="I49" s="101"/>
      <c r="J49" s="101"/>
      <c r="O49" s="32"/>
      <c r="P49" s="30"/>
      <c r="Q49" s="7"/>
      <c r="R49" s="36"/>
      <c r="S49" s="36"/>
      <c r="T49" s="197" t="s">
        <v>135</v>
      </c>
      <c r="U49" s="36"/>
      <c r="V49" s="255" t="s">
        <v>184</v>
      </c>
      <c r="W49" s="255"/>
      <c r="X49" s="36"/>
      <c r="Y49" s="36"/>
      <c r="Z49" s="36"/>
      <c r="AA49" s="36"/>
      <c r="AB49" s="36"/>
      <c r="AC49" s="36"/>
      <c r="AD49" s="73" t="s">
        <v>214</v>
      </c>
      <c r="AE49" s="94" t="s">
        <v>337</v>
      </c>
      <c r="AF49" s="73" t="s">
        <v>43</v>
      </c>
      <c r="AG49" s="73" t="s">
        <v>58</v>
      </c>
      <c r="AH49" s="36"/>
      <c r="AI49" s="55">
        <f t="shared" si="2"/>
        <v>38</v>
      </c>
      <c r="AJ49" s="56">
        <f>1/AK9+AJ48</f>
        <v>0.296875</v>
      </c>
      <c r="AK49" s="57" t="str">
        <f>" 19/"&amp;FIXED(AK9/2,0,FALSE)&amp;CHAR(34)</f>
        <v xml:space="preserve"> 19/64"</v>
      </c>
      <c r="AL49" s="45"/>
      <c r="AP49" s="3"/>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row>
    <row r="50" spans="1:100" ht="13.5" customHeight="1" x14ac:dyDescent="0.25">
      <c r="A50" s="13"/>
      <c r="B50" s="14"/>
      <c r="C50" s="105" t="s">
        <v>92</v>
      </c>
      <c r="D50" s="105"/>
      <c r="E50" s="101"/>
      <c r="F50" s="101"/>
      <c r="G50" s="101"/>
      <c r="H50" s="101"/>
      <c r="I50" s="101"/>
      <c r="J50" s="101"/>
      <c r="N50" s="101"/>
      <c r="O50" s="32"/>
      <c r="P50" s="30"/>
      <c r="Q50" s="7"/>
      <c r="R50" s="60"/>
      <c r="S50" s="60" t="s">
        <v>186</v>
      </c>
      <c r="T50" s="84"/>
      <c r="U50" s="133" t="s">
        <v>134</v>
      </c>
      <c r="V50" s="248">
        <v>0.1</v>
      </c>
      <c r="W50" s="248"/>
      <c r="X50" s="36"/>
      <c r="Y50" s="36"/>
      <c r="Z50" s="36"/>
      <c r="AA50" s="36"/>
      <c r="AB50" s="36"/>
      <c r="AC50" s="36"/>
      <c r="AD50" s="158" t="s">
        <v>215</v>
      </c>
      <c r="AE50" s="201" t="s">
        <v>100</v>
      </c>
      <c r="AF50" s="73" t="s">
        <v>44</v>
      </c>
      <c r="AG50" s="71" t="s">
        <v>35</v>
      </c>
      <c r="AH50" s="36"/>
      <c r="AI50" s="55">
        <f>1+AI49</f>
        <v>39</v>
      </c>
      <c r="AJ50" s="56">
        <f>1/AK9+AJ49</f>
        <v>0.3046875</v>
      </c>
      <c r="AK50" s="57" t="str">
        <f>" 39/"&amp;FIXED(AK9,0,FALSE)&amp;CHAR(34)</f>
        <v xml:space="preserve"> 39/128"</v>
      </c>
      <c r="AL50" s="45"/>
      <c r="AP50" s="3"/>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row>
    <row r="51" spans="1:100" ht="13.5" customHeight="1" x14ac:dyDescent="0.25">
      <c r="A51" s="13"/>
      <c r="B51" s="14"/>
      <c r="C51" s="256" t="str">
        <f>IF(AD60="","",AC59&amp;". "&amp;AD60&amp;CHAR(10))&amp;
IF(AD61="","",AC60&amp;". "&amp;AD61&amp;CHAR(10))&amp;
IF(AD62="","",AC61&amp;". "&amp;AD62&amp;CHAR(10))&amp;
IF(AD63="","",AC62&amp;". "&amp;AD63&amp;CHAR(10))&amp;
IF(AD64="","",AC63&amp;". "&amp;AD64&amp;CHAR(10))</f>
        <v xml:space="preserve">1. This estimate is based on current estimated prices.  The Town should allow for cost increase due to inflation.
2. A stream crossing assessment has not been completed.  Assumed Bank Full Width = 16.00'
3. A Hydraulic Study has not been completed. Replacing the bridge with an estimated hydraulic span of 10' (existing span) reduces the estimated structure costs by $70K.
4. Nominal ROW cost included as existing ROW is unknown.  
</v>
      </c>
      <c r="D51" s="256"/>
      <c r="E51" s="256"/>
      <c r="F51" s="256"/>
      <c r="G51" s="256"/>
      <c r="H51" s="256"/>
      <c r="I51" s="256"/>
      <c r="J51" s="256"/>
      <c r="K51" s="256"/>
      <c r="L51" s="256"/>
      <c r="M51" s="256"/>
      <c r="N51" s="256"/>
      <c r="O51" s="32"/>
      <c r="P51" s="30"/>
      <c r="Q51" s="7"/>
      <c r="R51" s="60"/>
      <c r="S51" s="60" t="str">
        <f>C40&amp;" = "</f>
        <v xml:space="preserve">Temporary Detour Cost = </v>
      </c>
      <c r="T51" s="84"/>
      <c r="U51" s="132"/>
      <c r="V51" s="128"/>
      <c r="W51" s="36"/>
      <c r="X51" s="13"/>
      <c r="Y51" s="13"/>
      <c r="Z51" s="13"/>
      <c r="AA51" s="36"/>
      <c r="AB51" s="36"/>
      <c r="AC51" s="36"/>
      <c r="AD51" s="158" t="s">
        <v>247</v>
      </c>
      <c r="AE51" s="77" t="s">
        <v>101</v>
      </c>
      <c r="AF51" s="73" t="s">
        <v>317</v>
      </c>
      <c r="AG51" s="73" t="s">
        <v>24</v>
      </c>
      <c r="AH51" s="36"/>
      <c r="AI51" s="55">
        <f t="shared" si="2"/>
        <v>40</v>
      </c>
      <c r="AJ51" s="56">
        <f>1/AK9+AJ50</f>
        <v>0.3125</v>
      </c>
      <c r="AK51" s="57" t="str">
        <f>" 5/"&amp;FIXED(AK9/8,0,FALSE)&amp;CHAR(34)</f>
        <v xml:space="preserve"> 5/16"</v>
      </c>
      <c r="AL51" s="45"/>
      <c r="AP51" s="3"/>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row>
    <row r="52" spans="1:100" ht="14.1" customHeight="1" x14ac:dyDescent="0.25">
      <c r="A52" s="13"/>
      <c r="B52" s="14"/>
      <c r="C52" s="256"/>
      <c r="D52" s="256"/>
      <c r="E52" s="256"/>
      <c r="F52" s="256"/>
      <c r="G52" s="256"/>
      <c r="H52" s="256"/>
      <c r="I52" s="256"/>
      <c r="J52" s="256"/>
      <c r="K52" s="256"/>
      <c r="L52" s="256"/>
      <c r="M52" s="256"/>
      <c r="N52" s="256"/>
      <c r="O52" s="32"/>
      <c r="P52" s="30"/>
      <c r="Q52" s="7"/>
      <c r="R52" s="60"/>
      <c r="S52" s="60" t="s">
        <v>187</v>
      </c>
      <c r="T52" s="84">
        <v>90000</v>
      </c>
      <c r="U52" s="133" t="s">
        <v>134</v>
      </c>
      <c r="V52" s="248"/>
      <c r="W52" s="248"/>
      <c r="X52" s="13"/>
      <c r="Y52" s="13"/>
      <c r="Z52" s="13"/>
      <c r="AA52" s="13"/>
      <c r="AB52" s="13"/>
      <c r="AC52" s="13"/>
      <c r="AD52" s="193" t="s">
        <v>281</v>
      </c>
      <c r="AE52" s="77" t="s">
        <v>102</v>
      </c>
      <c r="AF52" s="73" t="s">
        <v>243</v>
      </c>
      <c r="AG52" s="75" t="s">
        <v>115</v>
      </c>
      <c r="AH52" s="36"/>
      <c r="AI52" s="55">
        <f t="shared" si="2"/>
        <v>41</v>
      </c>
      <c r="AJ52" s="56">
        <f>1/AK9+AJ51</f>
        <v>0.3203125</v>
      </c>
      <c r="AK52" s="57" t="str">
        <f>" 41/"&amp;FIXED(AK9,0,FALSE)&amp;CHAR(34)</f>
        <v xml:space="preserve"> 41/128"</v>
      </c>
      <c r="AL52" s="45"/>
      <c r="AP52" s="3"/>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row>
    <row r="53" spans="1:100" ht="14.1" customHeight="1" x14ac:dyDescent="0.25">
      <c r="A53" s="13"/>
      <c r="B53" s="14"/>
      <c r="C53" s="256"/>
      <c r="D53" s="256"/>
      <c r="E53" s="256"/>
      <c r="F53" s="256"/>
      <c r="G53" s="256"/>
      <c r="H53" s="256"/>
      <c r="I53" s="256"/>
      <c r="J53" s="256"/>
      <c r="K53" s="256"/>
      <c r="L53" s="256"/>
      <c r="M53" s="256"/>
      <c r="N53" s="256"/>
      <c r="O53" s="32"/>
      <c r="P53" s="30"/>
      <c r="Q53" s="13"/>
      <c r="R53" s="60"/>
      <c r="S53" s="60" t="s">
        <v>188</v>
      </c>
      <c r="T53" s="84">
        <v>10000</v>
      </c>
      <c r="U53" s="132"/>
      <c r="V53" s="128"/>
      <c r="W53" s="13"/>
      <c r="X53" s="13"/>
      <c r="Y53" s="13"/>
      <c r="Z53" s="13"/>
      <c r="AA53" s="13"/>
      <c r="AB53" s="13"/>
      <c r="AC53" s="13"/>
      <c r="AD53" s="194"/>
      <c r="AE53" s="77" t="s">
        <v>103</v>
      </c>
      <c r="AF53" s="75" t="s">
        <v>115</v>
      </c>
      <c r="AG53" s="73"/>
      <c r="AH53" s="36"/>
      <c r="AI53" s="55">
        <f t="shared" si="2"/>
        <v>42</v>
      </c>
      <c r="AJ53" s="56">
        <f>1/AK9+AJ52</f>
        <v>0.328125</v>
      </c>
      <c r="AK53" s="57" t="str">
        <f>" 21/"&amp;FIXED(AK9/2,0,FALSE)&amp;CHAR(34)</f>
        <v xml:space="preserve"> 21/64"</v>
      </c>
      <c r="AL53" s="45"/>
      <c r="AP53" s="3"/>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row>
    <row r="54" spans="1:100" ht="14.1" customHeight="1" x14ac:dyDescent="0.25">
      <c r="A54" s="13"/>
      <c r="B54" s="14"/>
      <c r="C54" s="256"/>
      <c r="D54" s="256"/>
      <c r="E54" s="256"/>
      <c r="F54" s="256"/>
      <c r="G54" s="256"/>
      <c r="H54" s="256"/>
      <c r="I54" s="256"/>
      <c r="J54" s="256"/>
      <c r="K54" s="256"/>
      <c r="L54" s="256"/>
      <c r="M54" s="256"/>
      <c r="N54" s="256"/>
      <c r="O54" s="32"/>
      <c r="P54" s="30"/>
      <c r="Q54" s="13"/>
      <c r="R54" s="60"/>
      <c r="S54" s="60" t="s">
        <v>283</v>
      </c>
      <c r="T54" s="84"/>
      <c r="U54" s="133" t="s">
        <v>134</v>
      </c>
      <c r="V54" s="248">
        <v>0.15</v>
      </c>
      <c r="W54" s="248"/>
      <c r="X54" s="13"/>
      <c r="Y54" s="13"/>
      <c r="Z54" s="13"/>
      <c r="AA54" s="13"/>
      <c r="AB54" s="13"/>
      <c r="AC54" s="13"/>
      <c r="AD54" s="213" t="s">
        <v>318</v>
      </c>
      <c r="AE54" s="77" t="s">
        <v>104</v>
      </c>
      <c r="AF54" s="71" t="s">
        <v>57</v>
      </c>
      <c r="AG54" s="74" t="s">
        <v>57</v>
      </c>
      <c r="AH54" s="36"/>
      <c r="AI54" s="55">
        <f t="shared" ref="AI54:AI55" si="3">1+AI53</f>
        <v>43</v>
      </c>
      <c r="AJ54" s="56">
        <f>1/AK9+AJ53</f>
        <v>0.3359375</v>
      </c>
      <c r="AK54" s="57" t="str">
        <f>" 43/"&amp;FIXED(AK9,0,FALSE)&amp;CHAR(34)</f>
        <v xml:space="preserve"> 43/128"</v>
      </c>
      <c r="AL54" s="45"/>
      <c r="AP54" s="3"/>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row>
    <row r="55" spans="1:100" ht="14.1" customHeight="1" x14ac:dyDescent="0.25">
      <c r="A55" s="13"/>
      <c r="B55" s="14"/>
      <c r="C55" s="257"/>
      <c r="D55" s="257"/>
      <c r="E55" s="257"/>
      <c r="F55" s="257"/>
      <c r="G55" s="257"/>
      <c r="H55" s="257"/>
      <c r="I55" s="257"/>
      <c r="J55" s="257"/>
      <c r="K55" s="257"/>
      <c r="L55" s="257"/>
      <c r="M55" s="257"/>
      <c r="N55" s="257"/>
      <c r="O55" s="32"/>
      <c r="P55" s="30"/>
      <c r="Q55" s="13"/>
      <c r="R55" s="60"/>
      <c r="S55" s="60" t="s">
        <v>190</v>
      </c>
      <c r="T55" s="84">
        <v>5000</v>
      </c>
      <c r="U55" s="132"/>
      <c r="V55" s="13"/>
      <c r="W55" s="13"/>
      <c r="X55" s="13"/>
      <c r="Y55" s="13"/>
      <c r="Z55" s="13"/>
      <c r="AA55" s="13"/>
      <c r="AB55" s="13"/>
      <c r="AC55" s="13"/>
      <c r="AD55" s="158" t="s">
        <v>319</v>
      </c>
      <c r="AE55" s="77"/>
      <c r="AF55" s="73" t="s">
        <v>26</v>
      </c>
      <c r="AG55" s="74" t="s">
        <v>76</v>
      </c>
      <c r="AH55" s="36"/>
      <c r="AI55" s="55">
        <f t="shared" si="3"/>
        <v>44</v>
      </c>
      <c r="AJ55" s="56">
        <f>1/AK9+AJ54</f>
        <v>0.34375</v>
      </c>
      <c r="AK55" s="57" t="str">
        <f>" 11/"&amp;FIXED(AK9/4,0,FALSE)&amp;CHAR(34)</f>
        <v xml:space="preserve"> 11/32"</v>
      </c>
      <c r="AL55" s="45"/>
      <c r="AP55" s="3"/>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row>
    <row r="56" spans="1:100" ht="14.1" customHeight="1" x14ac:dyDescent="0.25">
      <c r="A56" s="13"/>
      <c r="B56" s="14"/>
      <c r="C56" s="169" t="str">
        <f>IF(S26="None","PES/"&amp;LOWER(R8),"")</f>
        <v>PES/wps</v>
      </c>
      <c r="D56" s="167"/>
      <c r="E56" s="167"/>
      <c r="F56" s="167"/>
      <c r="G56" s="167"/>
      <c r="H56" s="167"/>
      <c r="I56" s="167"/>
      <c r="J56" s="167"/>
      <c r="K56" s="247" t="str">
        <f>"Program Version: "&amp;$X$8</f>
        <v>Program Version: v3.1</v>
      </c>
      <c r="L56" s="247"/>
      <c r="M56" s="247"/>
      <c r="N56" s="247"/>
      <c r="O56" s="32"/>
      <c r="P56" s="30"/>
      <c r="Q56" s="36" t="s">
        <v>97</v>
      </c>
      <c r="R56" s="36"/>
      <c r="S56" s="58">
        <v>-4</v>
      </c>
      <c r="T56" s="13"/>
      <c r="U56" s="13"/>
      <c r="V56" s="13"/>
      <c r="W56" s="13"/>
      <c r="X56" s="13"/>
      <c r="Y56" s="13"/>
      <c r="Z56" s="13"/>
      <c r="AA56" s="13"/>
      <c r="AB56" s="13"/>
      <c r="AC56" s="13"/>
      <c r="AD56" s="158" t="s">
        <v>322</v>
      </c>
      <c r="AE56" s="77" t="s">
        <v>105</v>
      </c>
      <c r="AF56" s="73" t="s">
        <v>65</v>
      </c>
      <c r="AG56" s="79" t="s">
        <v>77</v>
      </c>
      <c r="AH56" s="36"/>
      <c r="AI56" s="55">
        <f t="shared" ref="AI56:AI88" si="4">1+AI55</f>
        <v>45</v>
      </c>
      <c r="AJ56" s="56">
        <f>1/AK9+AJ55</f>
        <v>0.3515625</v>
      </c>
      <c r="AK56" s="57" t="str">
        <f>" 45/"&amp;FIXED(AK9,0,FALSE)&amp;CHAR(34)</f>
        <v xml:space="preserve"> 45/128"</v>
      </c>
      <c r="AL56" s="45"/>
      <c r="AP56" s="3"/>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row>
    <row r="57" spans="1:100" ht="6" customHeight="1" x14ac:dyDescent="0.25">
      <c r="A57" s="13"/>
      <c r="B57" s="14"/>
      <c r="C57" s="14"/>
      <c r="D57" s="14"/>
      <c r="E57" s="14"/>
      <c r="F57" s="14"/>
      <c r="G57" s="14"/>
      <c r="H57" s="14"/>
      <c r="I57" s="14"/>
      <c r="J57" s="14"/>
      <c r="K57" s="14"/>
      <c r="L57" s="14"/>
      <c r="M57" s="14"/>
      <c r="N57" s="14"/>
      <c r="O57" s="14"/>
      <c r="P57" s="30"/>
      <c r="Q57" s="13"/>
      <c r="R57" s="13"/>
      <c r="S57" s="13"/>
      <c r="T57" s="13"/>
      <c r="U57" s="13"/>
      <c r="V57" s="13"/>
      <c r="W57" s="13"/>
      <c r="X57" s="13"/>
      <c r="Y57" s="13"/>
      <c r="Z57" s="13"/>
      <c r="AA57" s="13"/>
      <c r="AB57" s="13"/>
      <c r="AC57" s="13"/>
      <c r="AD57" s="214"/>
      <c r="AE57" s="77" t="s">
        <v>106</v>
      </c>
      <c r="AF57" s="73" t="s">
        <v>305</v>
      </c>
      <c r="AG57" s="36"/>
      <c r="AH57" s="36"/>
      <c r="AI57" s="55">
        <f t="shared" si="4"/>
        <v>46</v>
      </c>
      <c r="AJ57" s="56">
        <f>1/AK9+AJ56</f>
        <v>0.359375</v>
      </c>
      <c r="AK57" s="57" t="str">
        <f>" 23/"&amp;FIXED(AK9/2,0,FALSE)&amp;CHAR(34)</f>
        <v xml:space="preserve"> 23/64"</v>
      </c>
      <c r="AL57" s="45"/>
      <c r="AP57" s="3"/>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row>
    <row r="58" spans="1:100" ht="12.75" customHeight="1" x14ac:dyDescent="0.25">
      <c r="A58" s="7"/>
      <c r="B58" s="13"/>
      <c r="C58" s="30"/>
      <c r="D58" s="7" t="s">
        <v>92</v>
      </c>
      <c r="E58" s="7"/>
      <c r="F58" s="7"/>
      <c r="G58" s="36"/>
      <c r="H58" s="36"/>
      <c r="I58" s="36"/>
      <c r="J58" s="36"/>
      <c r="K58" s="36"/>
      <c r="L58" s="36"/>
      <c r="M58" s="36"/>
      <c r="N58" s="36"/>
      <c r="O58" s="36"/>
      <c r="P58" s="36"/>
      <c r="Q58" s="36"/>
      <c r="R58" s="36"/>
      <c r="S58" s="36"/>
      <c r="T58" s="36"/>
      <c r="U58" s="36"/>
      <c r="V58" s="36"/>
      <c r="W58" s="36"/>
      <c r="X58" s="36"/>
      <c r="Y58" s="36"/>
      <c r="Z58" s="36"/>
      <c r="AA58" s="36"/>
      <c r="AB58" s="36"/>
      <c r="AC58" s="36"/>
      <c r="AD58" s="13"/>
      <c r="AE58" s="77" t="s">
        <v>107</v>
      </c>
      <c r="AF58" s="73" t="s">
        <v>308</v>
      </c>
      <c r="AG58" s="36"/>
      <c r="AH58" s="36"/>
      <c r="AI58" s="55">
        <f t="shared" si="4"/>
        <v>47</v>
      </c>
      <c r="AJ58" s="56">
        <f>1/AK9+AJ57</f>
        <v>0.3671875</v>
      </c>
      <c r="AK58" s="57" t="str">
        <f>" 47/"&amp;FIXED(AK9,0,FALSE)&amp;CHAR(34)</f>
        <v xml:space="preserve"> 47/128"</v>
      </c>
      <c r="AL58" s="45"/>
      <c r="AP58" s="3"/>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row>
    <row r="59" spans="1:100" ht="12.95" customHeight="1" x14ac:dyDescent="0.25">
      <c r="A59" s="36">
        <f t="shared" ref="A59:A86" si="5">IF(ISBLANK(C59),A58,1+A58)</f>
        <v>1</v>
      </c>
      <c r="B59" s="13"/>
      <c r="C59" s="181" t="s">
        <v>257</v>
      </c>
      <c r="D59" s="36" t="s">
        <v>338</v>
      </c>
      <c r="E59" s="36"/>
      <c r="F59" s="36"/>
      <c r="G59" s="36"/>
      <c r="H59" s="36"/>
      <c r="I59" s="36"/>
      <c r="J59" s="36"/>
      <c r="K59" s="36"/>
      <c r="L59" s="36"/>
      <c r="M59" s="36"/>
      <c r="N59" s="36"/>
      <c r="O59" s="36"/>
      <c r="P59" s="36"/>
      <c r="Q59" s="36" t="s">
        <v>344</v>
      </c>
      <c r="R59" s="36"/>
      <c r="S59" s="36"/>
      <c r="T59" s="84">
        <v>200</v>
      </c>
      <c r="U59" s="36"/>
      <c r="V59" s="36" t="s">
        <v>353</v>
      </c>
      <c r="W59" s="36"/>
      <c r="X59" s="36"/>
      <c r="Y59" s="36"/>
      <c r="Z59" s="36"/>
      <c r="AA59" s="36"/>
      <c r="AB59" s="36"/>
      <c r="AC59" s="36">
        <v>1</v>
      </c>
      <c r="AD59" s="36"/>
      <c r="AE59" s="77" t="s">
        <v>193</v>
      </c>
      <c r="AF59" s="72" t="s">
        <v>298</v>
      </c>
      <c r="AG59" s="78"/>
      <c r="AH59" s="36"/>
      <c r="AI59" s="55">
        <f t="shared" si="4"/>
        <v>48</v>
      </c>
      <c r="AJ59" s="56">
        <f>1/AK9+AJ58</f>
        <v>0.375</v>
      </c>
      <c r="AK59" s="57" t="str">
        <f>" 3/"&amp;FIXED(AK9/16,0,FALSE)&amp;CHAR(34)</f>
        <v xml:space="preserve"> 3/8"</v>
      </c>
      <c r="AL59" s="45"/>
      <c r="AP59" s="3"/>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row>
    <row r="60" spans="1:100" ht="12.95" customHeight="1" x14ac:dyDescent="0.25">
      <c r="A60" s="36">
        <f t="shared" si="5"/>
        <v>1</v>
      </c>
      <c r="B60" s="13"/>
      <c r="C60" s="181"/>
      <c r="D60" s="36" t="str">
        <f>AA31</f>
        <v>The required waterway area for the proposed bridge was estimated.  A Hydraulic Study has not been done.</v>
      </c>
      <c r="E60" s="36"/>
      <c r="F60" s="36"/>
      <c r="G60" s="36"/>
      <c r="H60" s="36"/>
      <c r="I60" s="36"/>
      <c r="J60" s="36"/>
      <c r="K60" s="36"/>
      <c r="L60" s="36"/>
      <c r="M60" s="36"/>
      <c r="N60" s="36"/>
      <c r="O60" s="36"/>
      <c r="P60" s="36"/>
      <c r="Q60" s="40"/>
      <c r="R60" s="60" t="str">
        <f>"["&amp;R32&amp;"’ +  "&amp;IF(T31="Stream",3,4)&amp;"("&amp;Y33&amp;"’)]"&amp;IF(IF(ISBLANK(R34),X20,R34)=0,""," / cos("&amp;IF(ISBLANK(R34),X20,R34)&amp;CHAR(176)&amp;")")&amp;"  x  "&amp;X34&amp;"’ "&amp;IF(R35="Yes","  x   1.25 ","")&amp;"x $"&amp;T59&amp;"/sf ≈"</f>
        <v>[10’ +  3(6’)] / cos(30°)  x  24’ x $200/sf ≈</v>
      </c>
      <c r="S60" s="225">
        <f>ROUNDUP((R32 + IF(T31="Stream",3,4)*Y33)/COS(RADIANS(IF(ISBLANK(R34),X20,R34))) * X34  *   IF(R35="Yes",1.25,1)   * T59,S56)</f>
        <v>160000</v>
      </c>
      <c r="T60" s="36"/>
      <c r="U60" s="36"/>
      <c r="V60" s="36"/>
      <c r="W60" s="36"/>
      <c r="X60" s="60" t="s">
        <v>345</v>
      </c>
      <c r="Y60" s="225">
        <f>L36-S60</f>
        <v>70000</v>
      </c>
      <c r="Z60" s="36"/>
      <c r="AA60" s="36"/>
      <c r="AB60" s="36"/>
      <c r="AC60" s="36">
        <v>2</v>
      </c>
      <c r="AD60" s="36" t="str">
        <f>IF(AC59&gt;MAX($A$59:$A$87),"",INDEX($D$59:$D$87,MATCH(AC59,$A$59:$A$87,0),1))</f>
        <v>This estimate is based on current estimated prices.  The Town should allow for cost increase due to inflation.</v>
      </c>
      <c r="AE60" s="77" t="s">
        <v>194</v>
      </c>
      <c r="AF60" s="72" t="s">
        <v>299</v>
      </c>
      <c r="AG60" s="79" t="s">
        <v>124</v>
      </c>
      <c r="AH60" s="36"/>
      <c r="AI60" s="55">
        <f t="shared" si="4"/>
        <v>49</v>
      </c>
      <c r="AJ60" s="56">
        <f>1/AK9+AJ59</f>
        <v>0.3828125</v>
      </c>
      <c r="AK60" s="57" t="str">
        <f>" 49/"&amp;FIXED(AK9,0,FALSE)&amp;CHAR(34)</f>
        <v xml:space="preserve"> 49/128"</v>
      </c>
      <c r="AL60" s="45"/>
      <c r="AP60" s="3"/>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row>
    <row r="61" spans="1:100" ht="12.95" customHeight="1" x14ac:dyDescent="0.25">
      <c r="A61" s="36">
        <f t="shared" si="5"/>
        <v>1</v>
      </c>
      <c r="B61" s="13"/>
      <c r="C61" s="181"/>
      <c r="D61" s="36" t="s">
        <v>292</v>
      </c>
      <c r="E61" s="36"/>
      <c r="F61" s="36"/>
      <c r="G61" s="36"/>
      <c r="H61" s="36"/>
      <c r="I61" s="36"/>
      <c r="J61" s="36"/>
      <c r="K61" s="36"/>
      <c r="L61" s="36"/>
      <c r="M61" s="36"/>
      <c r="N61" s="36"/>
      <c r="O61" s="36"/>
      <c r="P61" s="200" t="str">
        <f>IF(AND(LEFT(E31,3)="Yes",ISBLANK(C61)),"&lt;=== User has indicated above that Phased Construction is to be used.  Consider adding this note!",IF(C61="x","&lt;=====User has not specified above that phased construction is to be used.  Remove note!",""))</f>
        <v/>
      </c>
      <c r="Q61" s="36"/>
      <c r="R61" s="36"/>
      <c r="S61" s="36"/>
      <c r="T61" s="36"/>
      <c r="U61" s="36"/>
      <c r="V61" s="36"/>
      <c r="W61" s="36"/>
      <c r="X61" s="36"/>
      <c r="Y61" s="36"/>
      <c r="Z61" s="36"/>
      <c r="AA61" s="36"/>
      <c r="AB61" s="36"/>
      <c r="AC61" s="36">
        <v>3</v>
      </c>
      <c r="AD61" s="36" t="str">
        <f>IF(AC60&gt;MAX($A$59:$A$87),"",INDEX($D$59:$D$87,MATCH(AC60,$A$59:$A$87,0),1))</f>
        <v>A stream crossing assessment has not been completed.  Assumed Bank Full Width = 16.00'</v>
      </c>
      <c r="AE61" s="80" t="s">
        <v>195</v>
      </c>
      <c r="AF61" s="72" t="s">
        <v>300</v>
      </c>
      <c r="AG61" s="78" t="str">
        <f>TEXT(R20,"#,###")&amp;IF(ISBLANK(S20),""," / "&amp;S20*100&amp;"% Trks")&amp;IF(ISBLANK(T20),"",", ("&amp;T20&amp;")")</f>
        <v>1,400 / 10% Trks, (2012)</v>
      </c>
      <c r="AH61" s="36"/>
      <c r="AI61" s="55">
        <f t="shared" si="4"/>
        <v>50</v>
      </c>
      <c r="AJ61" s="56">
        <f>1/AK9+AJ60</f>
        <v>0.390625</v>
      </c>
      <c r="AK61" s="57" t="str">
        <f>" 25/"&amp;FIXED(AK9/2,0,FALSE)&amp;CHAR(34)</f>
        <v xml:space="preserve"> 25/64"</v>
      </c>
      <c r="AL61" s="45"/>
      <c r="AP61" s="3"/>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row>
    <row r="62" spans="1:100" ht="12.95" customHeight="1" x14ac:dyDescent="0.25">
      <c r="A62" s="36">
        <f t="shared" si="5"/>
        <v>1</v>
      </c>
      <c r="B62" s="13"/>
      <c r="C62" s="181"/>
      <c r="D62" s="36" t="str">
        <f>"DES Stream Crossing Guidline estimate has been completed with Bank Full width = "&amp;FIXED(R29,2)&amp;"'"</f>
        <v>DES Stream Crossing Guidline estimate has been completed with Bank Full width = 16.00'</v>
      </c>
      <c r="E62" s="36"/>
      <c r="F62" s="36"/>
      <c r="G62" s="36"/>
      <c r="H62" s="36"/>
      <c r="I62" s="36"/>
      <c r="J62" s="36"/>
      <c r="K62" s="36"/>
      <c r="L62" s="36"/>
      <c r="M62" s="36"/>
      <c r="N62" s="36"/>
      <c r="O62" s="36"/>
      <c r="P62" s="36"/>
      <c r="Q62" s="36"/>
      <c r="R62" s="36"/>
      <c r="S62" s="36"/>
      <c r="T62" s="36"/>
      <c r="U62" s="36"/>
      <c r="V62" s="36"/>
      <c r="W62" s="36"/>
      <c r="X62" s="36"/>
      <c r="Y62" s="36"/>
      <c r="Z62" s="36"/>
      <c r="AA62" s="36"/>
      <c r="AB62" s="36"/>
      <c r="AC62" s="36">
        <v>4</v>
      </c>
      <c r="AD62" s="36" t="str">
        <f>IF(AC61&gt;MAX($A$59:$A$87),"",INDEX($D$59:$D$87,MATCH(AC61,$A$59:$A$87,0),1))</f>
        <v>A Hydraulic Study has not been completed. Replacing the bridge with an estimated hydraulic span of 10' (existing span) reduces the estimated structure costs by $70K.</v>
      </c>
      <c r="AE62" s="76" t="s">
        <v>162</v>
      </c>
      <c r="AF62" s="72" t="s">
        <v>301</v>
      </c>
      <c r="AG62" s="130" t="str">
        <f>TEXT(R21,"#,###")&amp;IF(ISBLANK(S21),""," / "&amp;S21*100&amp;"% Trks")&amp;IF(ISBLANK(T21),"",", ("&amp;T21&amp;")")</f>
        <v>2,072 / 10% Trks, (2032)</v>
      </c>
      <c r="AH62" s="36"/>
      <c r="AI62" s="55">
        <f t="shared" si="4"/>
        <v>51</v>
      </c>
      <c r="AJ62" s="56">
        <f>1/AK9+AJ61</f>
        <v>0.3984375</v>
      </c>
      <c r="AK62" s="57" t="str">
        <f>" 51/"&amp;FIXED(AK9,0,FALSE)&amp;CHAR(34)</f>
        <v xml:space="preserve"> 51/128"</v>
      </c>
      <c r="AL62" s="45"/>
      <c r="AP62" s="3"/>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row>
    <row r="63" spans="1:100" ht="12.95" customHeight="1" x14ac:dyDescent="0.25">
      <c r="A63" s="36">
        <f t="shared" si="5"/>
        <v>2</v>
      </c>
      <c r="B63" s="13"/>
      <c r="C63" s="181" t="s">
        <v>257</v>
      </c>
      <c r="D63" s="36" t="str">
        <f>"A stream crossing assessment has not been completed.  Assumed Bank Full Width = "&amp;FIXED(R29,2)&amp;"'"</f>
        <v>A stream crossing assessment has not been completed.  Assumed Bank Full Width = 16.00'</v>
      </c>
      <c r="E63" s="36"/>
      <c r="F63" s="36"/>
      <c r="G63" s="36"/>
      <c r="H63" s="36"/>
      <c r="I63" s="36"/>
      <c r="J63" s="36"/>
      <c r="K63" s="36"/>
      <c r="L63" s="36"/>
      <c r="M63" s="36"/>
      <c r="N63" s="36"/>
      <c r="O63" s="36"/>
      <c r="P63" s="36"/>
      <c r="Q63" s="36"/>
      <c r="R63" s="36"/>
      <c r="S63" s="36"/>
      <c r="T63" s="36"/>
      <c r="U63" s="36"/>
      <c r="V63" s="36"/>
      <c r="W63" s="36"/>
      <c r="X63" s="36"/>
      <c r="Y63" s="36"/>
      <c r="Z63" s="36"/>
      <c r="AA63" s="36"/>
      <c r="AB63" s="36"/>
      <c r="AC63" s="36">
        <v>5</v>
      </c>
      <c r="AD63" s="36" t="str">
        <f>IF(AC62&gt;MAX($A$59:$A$87),"",INDEX($D$59:$D$87,MATCH(AC62,$A$59:$A$87,0),1))</f>
        <v xml:space="preserve">Nominal ROW cost included as existing ROW is unknown.  </v>
      </c>
      <c r="AE63" s="124" t="s">
        <v>161</v>
      </c>
      <c r="AF63" s="72" t="s">
        <v>295</v>
      </c>
      <c r="AG63" s="78" t="s">
        <v>35</v>
      </c>
      <c r="AH63" s="36"/>
      <c r="AI63" s="55">
        <f t="shared" si="4"/>
        <v>52</v>
      </c>
      <c r="AJ63" s="56">
        <f>1/AK9+AJ62</f>
        <v>0.40625</v>
      </c>
      <c r="AK63" s="57" t="str">
        <f>" 13/"&amp;FIXED(AK9/4,0,FALSE)&amp;CHAR(34)</f>
        <v xml:space="preserve"> 13/32"</v>
      </c>
      <c r="AL63" s="45"/>
      <c r="AP63" s="3"/>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row>
    <row r="64" spans="1:100" ht="12.75" customHeight="1" x14ac:dyDescent="0.25">
      <c r="A64" s="36">
        <f t="shared" si="5"/>
        <v>2</v>
      </c>
      <c r="B64" s="13"/>
      <c r="C64" s="181"/>
      <c r="D64" s="8" t="s">
        <v>99</v>
      </c>
      <c r="E64" s="8"/>
      <c r="F64" s="8"/>
      <c r="G64" s="8"/>
      <c r="H64" s="8"/>
      <c r="I64" s="8"/>
      <c r="J64" s="8"/>
      <c r="K64" s="8"/>
      <c r="L64" s="8"/>
      <c r="M64" s="8"/>
      <c r="N64" s="8"/>
      <c r="O64" s="36"/>
      <c r="P64" s="36"/>
      <c r="Q64" s="36"/>
      <c r="R64" s="36"/>
      <c r="S64" s="36"/>
      <c r="T64" s="36"/>
      <c r="U64" s="36"/>
      <c r="V64" s="36"/>
      <c r="W64" s="36"/>
      <c r="X64" s="36"/>
      <c r="Y64" s="36"/>
      <c r="Z64" s="36"/>
      <c r="AA64" s="36"/>
      <c r="AB64" s="36"/>
      <c r="AC64" s="36"/>
      <c r="AD64" s="36" t="str">
        <f>IF(AC63&gt;MAX($A$59:$A$87),"",INDEX($D$59:$D$87,MATCH(AC63,$A$59:$A$87,0),1))</f>
        <v/>
      </c>
      <c r="AE64" s="71" t="s">
        <v>207</v>
      </c>
      <c r="AF64" s="72" t="s">
        <v>296</v>
      </c>
      <c r="AG64" s="74" t="s">
        <v>24</v>
      </c>
      <c r="AH64" s="36"/>
      <c r="AI64" s="55">
        <f t="shared" si="4"/>
        <v>53</v>
      </c>
      <c r="AJ64" s="56">
        <f>1/AK9+AJ63</f>
        <v>0.4140625</v>
      </c>
      <c r="AK64" s="57" t="str">
        <f>" 53/"&amp;FIXED(AK9,0,FALSE)&amp;CHAR(34)</f>
        <v xml:space="preserve"> 53/128"</v>
      </c>
      <c r="AL64" s="45"/>
    </row>
    <row r="65" spans="1:38" ht="15" customHeight="1" x14ac:dyDescent="0.25">
      <c r="A65" s="36">
        <f t="shared" si="5"/>
        <v>2</v>
      </c>
      <c r="B65" s="13"/>
      <c r="C65" s="181"/>
      <c r="D65" s="8" t="s">
        <v>121</v>
      </c>
      <c r="E65" s="8"/>
      <c r="F65" s="8"/>
      <c r="G65" s="8"/>
      <c r="H65" s="8"/>
      <c r="I65" s="8"/>
      <c r="J65" s="8"/>
      <c r="K65" s="8"/>
      <c r="L65" s="8"/>
      <c r="M65" s="8"/>
      <c r="N65" s="8"/>
      <c r="O65" s="36"/>
      <c r="P65" s="36"/>
      <c r="Q65" s="36"/>
      <c r="R65" s="36"/>
      <c r="S65" s="36"/>
      <c r="T65" s="36"/>
      <c r="U65" s="36"/>
      <c r="V65" s="36"/>
      <c r="W65" s="36"/>
      <c r="X65" s="36"/>
      <c r="Y65" s="36"/>
      <c r="Z65" s="36"/>
      <c r="AA65" s="36"/>
      <c r="AB65" s="36"/>
      <c r="AC65" s="36"/>
      <c r="AD65" s="36"/>
      <c r="AE65" s="73" t="s">
        <v>208</v>
      </c>
      <c r="AF65" s="72" t="s">
        <v>306</v>
      </c>
      <c r="AG65" s="79" t="s">
        <v>136</v>
      </c>
      <c r="AH65" s="36"/>
      <c r="AI65" s="55">
        <f t="shared" si="4"/>
        <v>54</v>
      </c>
      <c r="AJ65" s="56">
        <f>1/AK9+AJ64</f>
        <v>0.421875</v>
      </c>
      <c r="AK65" s="57" t="str">
        <f>" 27/"&amp;FIXED(AK9/2,0,FALSE)&amp;CHAR(34)</f>
        <v xml:space="preserve"> 27/64"</v>
      </c>
      <c r="AL65" s="45"/>
    </row>
    <row r="66" spans="1:38" ht="15.6" customHeight="1" x14ac:dyDescent="0.25">
      <c r="A66" s="36">
        <f t="shared" si="5"/>
        <v>2</v>
      </c>
      <c r="B66" s="13"/>
      <c r="C66" s="181"/>
      <c r="D66" s="8" t="s">
        <v>122</v>
      </c>
      <c r="E66" s="8"/>
      <c r="F66" s="8"/>
      <c r="G66" s="8"/>
      <c r="H66" s="8"/>
      <c r="I66" s="8"/>
      <c r="J66" s="8"/>
      <c r="K66" s="8"/>
      <c r="L66" s="8"/>
      <c r="M66" s="8"/>
      <c r="N66" s="8"/>
      <c r="O66" s="36"/>
      <c r="P66" s="36"/>
      <c r="Q66" s="36"/>
      <c r="R66" s="36"/>
      <c r="S66" s="36"/>
      <c r="T66" s="36"/>
      <c r="U66" s="36"/>
      <c r="V66" s="36"/>
      <c r="W66" s="36"/>
      <c r="X66" s="36"/>
      <c r="Y66" s="36"/>
      <c r="Z66" s="36"/>
      <c r="AA66" s="36"/>
      <c r="AB66" s="36"/>
      <c r="AC66" s="36"/>
      <c r="AD66" s="36"/>
      <c r="AE66" s="75" t="s">
        <v>218</v>
      </c>
      <c r="AF66" s="72" t="s">
        <v>311</v>
      </c>
      <c r="AG66" s="226">
        <v>200</v>
      </c>
      <c r="AH66" s="36"/>
      <c r="AI66" s="55">
        <f t="shared" si="4"/>
        <v>55</v>
      </c>
      <c r="AJ66" s="56">
        <f>1/AK9+AJ65</f>
        <v>0.4296875</v>
      </c>
      <c r="AK66" s="57" t="str">
        <f>" 55/"&amp;FIXED(AK9,0,FALSE)&amp;CHAR(34)</f>
        <v xml:space="preserve"> 55/128"</v>
      </c>
      <c r="AL66" s="45"/>
    </row>
    <row r="67" spans="1:38" ht="15.6" customHeight="1" x14ac:dyDescent="0.25">
      <c r="A67" s="36">
        <f t="shared" si="5"/>
        <v>2</v>
      </c>
      <c r="B67" s="13"/>
      <c r="C67" s="181"/>
      <c r="D67" s="8" t="s">
        <v>123</v>
      </c>
      <c r="E67" s="8"/>
      <c r="F67" s="8"/>
      <c r="G67" s="8"/>
      <c r="H67" s="8"/>
      <c r="I67" s="8"/>
      <c r="J67" s="8"/>
      <c r="K67" s="8"/>
      <c r="L67" s="8"/>
      <c r="M67" s="8"/>
      <c r="N67" s="8"/>
      <c r="O67" s="36"/>
      <c r="P67" s="36"/>
      <c r="Q67" s="36"/>
      <c r="R67" s="36"/>
      <c r="S67" s="36"/>
      <c r="T67" s="36"/>
      <c r="U67" s="36"/>
      <c r="V67" s="36"/>
      <c r="W67" s="36"/>
      <c r="X67" s="36"/>
      <c r="Y67" s="36"/>
      <c r="Z67" s="36"/>
      <c r="AA67" s="36"/>
      <c r="AB67" s="36"/>
      <c r="AC67" s="36"/>
      <c r="AD67" s="36"/>
      <c r="AE67" s="36"/>
      <c r="AF67" s="72" t="s">
        <v>303</v>
      </c>
      <c r="AG67" s="227">
        <v>250</v>
      </c>
      <c r="AH67" s="36"/>
      <c r="AI67" s="55">
        <f t="shared" si="4"/>
        <v>56</v>
      </c>
      <c r="AJ67" s="56">
        <f>1/AK9+AJ66</f>
        <v>0.4375</v>
      </c>
      <c r="AK67" s="57" t="str">
        <f>" 7/"&amp;FIXED(AK9/8,0,FALSE)&amp;CHAR(34)</f>
        <v xml:space="preserve"> 7/16"</v>
      </c>
      <c r="AL67" s="45"/>
    </row>
    <row r="68" spans="1:38" ht="15.6" customHeight="1" x14ac:dyDescent="0.25">
      <c r="A68" s="36">
        <f t="shared" si="5"/>
        <v>2</v>
      </c>
      <c r="B68" s="13"/>
      <c r="C68" s="181"/>
      <c r="D68" s="8" t="s">
        <v>316</v>
      </c>
      <c r="E68" s="8"/>
      <c r="F68" s="8"/>
      <c r="G68" s="8"/>
      <c r="H68" s="8"/>
      <c r="I68" s="8"/>
      <c r="J68" s="8"/>
      <c r="K68" s="8"/>
      <c r="L68" s="8"/>
      <c r="M68" s="8"/>
      <c r="N68" s="8"/>
      <c r="O68" s="36"/>
      <c r="P68" s="36"/>
      <c r="Q68" s="36"/>
      <c r="R68" s="36"/>
      <c r="S68" s="36"/>
      <c r="T68" s="36"/>
      <c r="U68" s="36"/>
      <c r="V68" s="36"/>
      <c r="W68" s="36"/>
      <c r="X68" s="36"/>
      <c r="Y68" s="36"/>
      <c r="Z68" s="36"/>
      <c r="AA68" s="36"/>
      <c r="AB68" s="36"/>
      <c r="AC68" s="36"/>
      <c r="AD68" s="36"/>
      <c r="AE68" s="36"/>
      <c r="AF68" s="72" t="s">
        <v>304</v>
      </c>
      <c r="AG68" s="228"/>
      <c r="AH68" s="36"/>
      <c r="AI68" s="55">
        <f t="shared" si="4"/>
        <v>57</v>
      </c>
      <c r="AJ68" s="56">
        <f>1/AK9+AJ67</f>
        <v>0.4453125</v>
      </c>
      <c r="AK68" s="57" t="str">
        <f>" 57/"&amp;FIXED(AK9,0,FALSE)&amp;CHAR(34)</f>
        <v xml:space="preserve"> 57/128"</v>
      </c>
      <c r="AL68" s="44"/>
    </row>
    <row r="69" spans="1:38" ht="15.6" customHeight="1" x14ac:dyDescent="0.25">
      <c r="A69" s="36">
        <f t="shared" si="5"/>
        <v>2</v>
      </c>
      <c r="B69" s="13"/>
      <c r="C69" s="181"/>
      <c r="D69" s="8" t="s">
        <v>223</v>
      </c>
      <c r="E69" s="8"/>
      <c r="F69" s="8"/>
      <c r="G69" s="8"/>
      <c r="H69" s="8"/>
      <c r="I69" s="8"/>
      <c r="J69" s="8"/>
      <c r="K69" s="8"/>
      <c r="L69" s="8"/>
      <c r="M69" s="8"/>
      <c r="N69" s="8"/>
      <c r="O69" s="36"/>
      <c r="P69" s="36"/>
      <c r="Q69" s="36"/>
      <c r="R69" s="36"/>
      <c r="S69" s="36"/>
      <c r="T69" s="36"/>
      <c r="U69" s="36"/>
      <c r="V69" s="36"/>
      <c r="W69" s="36"/>
      <c r="X69" s="36"/>
      <c r="Y69" s="36"/>
      <c r="Z69" s="36"/>
      <c r="AA69" s="36"/>
      <c r="AB69" s="36"/>
      <c r="AC69" s="36"/>
      <c r="AD69" s="36"/>
      <c r="AE69" s="36"/>
      <c r="AF69" s="73" t="s">
        <v>302</v>
      </c>
      <c r="AG69" s="36"/>
      <c r="AH69" s="36"/>
      <c r="AI69" s="88">
        <f t="shared" si="4"/>
        <v>58</v>
      </c>
      <c r="AJ69" s="56">
        <f>1/AK9+AJ68</f>
        <v>0.453125</v>
      </c>
      <c r="AK69" s="57" t="str">
        <f>" 29/"&amp;FIXED(AK9/2,0,FALSE)&amp;CHAR(34)</f>
        <v xml:space="preserve"> 29/64"</v>
      </c>
      <c r="AL69" s="44"/>
    </row>
    <row r="70" spans="1:38" ht="12.75" customHeight="1" x14ac:dyDescent="0.25">
      <c r="A70" s="36">
        <f t="shared" si="5"/>
        <v>2</v>
      </c>
      <c r="B70" s="13"/>
      <c r="C70" s="181"/>
      <c r="D70" s="8" t="s">
        <v>269</v>
      </c>
      <c r="E70" s="8"/>
      <c r="F70" s="8"/>
      <c r="G70" s="8"/>
      <c r="H70" s="8"/>
      <c r="I70" s="8"/>
      <c r="J70" s="8"/>
      <c r="K70" s="8"/>
      <c r="L70" s="8"/>
      <c r="M70" s="8"/>
      <c r="N70" s="8"/>
      <c r="O70" s="36"/>
      <c r="P70" s="36"/>
      <c r="Q70" s="36"/>
      <c r="R70" s="36"/>
      <c r="S70" s="36"/>
      <c r="T70" s="36"/>
      <c r="U70" s="36"/>
      <c r="V70" s="36"/>
      <c r="W70" s="36"/>
      <c r="X70" s="36"/>
      <c r="Y70" s="36"/>
      <c r="Z70" s="36"/>
      <c r="AA70" s="36"/>
      <c r="AB70" s="36"/>
      <c r="AC70" s="36"/>
      <c r="AD70" s="36"/>
      <c r="AE70" s="36"/>
      <c r="AF70" s="73" t="s">
        <v>297</v>
      </c>
      <c r="AG70" s="36"/>
      <c r="AH70" s="36"/>
      <c r="AI70" s="88">
        <f t="shared" si="4"/>
        <v>59</v>
      </c>
      <c r="AJ70" s="56">
        <f>1/AK9+AJ69</f>
        <v>0.4609375</v>
      </c>
      <c r="AK70" s="57" t="str">
        <f>" 59/"&amp;FIXED(AK9,0,FALSE)&amp;CHAR(34)</f>
        <v xml:space="preserve"> 59/128"</v>
      </c>
      <c r="AL70" s="44"/>
    </row>
    <row r="71" spans="1:38" ht="12.75" customHeight="1" x14ac:dyDescent="0.25">
      <c r="A71" s="36">
        <f t="shared" si="5"/>
        <v>2</v>
      </c>
      <c r="B71" s="13"/>
      <c r="C71" s="181"/>
      <c r="D71" s="8" t="s">
        <v>273</v>
      </c>
      <c r="E71" s="8"/>
      <c r="F71" s="8"/>
      <c r="G71" s="8"/>
      <c r="H71" s="8"/>
      <c r="I71" s="8"/>
      <c r="J71" s="8"/>
      <c r="K71" s="8"/>
      <c r="L71" s="8"/>
      <c r="M71" s="8"/>
      <c r="N71" s="8"/>
      <c r="O71" s="36"/>
      <c r="P71" s="36"/>
      <c r="Q71" s="36"/>
      <c r="R71" s="36"/>
      <c r="S71" s="36"/>
      <c r="T71" s="36"/>
      <c r="U71" s="36"/>
      <c r="V71" s="36"/>
      <c r="W71" s="36"/>
      <c r="X71" s="36"/>
      <c r="Y71" s="36"/>
      <c r="Z71" s="36"/>
      <c r="AA71" s="36"/>
      <c r="AB71" s="36"/>
      <c r="AC71" s="36"/>
      <c r="AD71" s="36"/>
      <c r="AE71" s="66" t="s">
        <v>170</v>
      </c>
      <c r="AF71" s="75" t="s">
        <v>307</v>
      </c>
      <c r="AG71" s="36"/>
      <c r="AH71" s="36"/>
      <c r="AI71" s="88">
        <f t="shared" si="4"/>
        <v>60</v>
      </c>
      <c r="AJ71" s="56">
        <f>1/AK9+AJ70</f>
        <v>0.46875</v>
      </c>
      <c r="AK71" s="57" t="str">
        <f>" 15/"&amp;FIXED(AK9/4,0,FALSE)&amp;CHAR(34)</f>
        <v xml:space="preserve"> 15/32"</v>
      </c>
      <c r="AL71" s="44"/>
    </row>
    <row r="72" spans="1:38" ht="15" x14ac:dyDescent="0.25">
      <c r="A72" s="36">
        <f t="shared" si="5"/>
        <v>2</v>
      </c>
      <c r="B72" s="13"/>
      <c r="C72" s="181"/>
      <c r="D72" s="8" t="s">
        <v>159</v>
      </c>
      <c r="E72" s="8"/>
      <c r="F72" s="8"/>
      <c r="G72" s="8"/>
      <c r="H72" s="8"/>
      <c r="I72" s="8"/>
      <c r="J72" s="8"/>
      <c r="K72" s="8"/>
      <c r="L72" s="8"/>
      <c r="M72" s="8"/>
      <c r="N72" s="8"/>
      <c r="O72" s="36"/>
      <c r="P72" s="36"/>
      <c r="Q72" s="36"/>
      <c r="R72" s="36"/>
      <c r="S72" s="36"/>
      <c r="T72" s="36"/>
      <c r="U72" s="36"/>
      <c r="V72" s="36"/>
      <c r="W72" s="36"/>
      <c r="X72" s="36"/>
      <c r="Y72" s="36"/>
      <c r="Z72" s="36"/>
      <c r="AA72" s="36"/>
      <c r="AB72" s="36"/>
      <c r="AC72" s="36"/>
      <c r="AD72" s="90">
        <f t="shared" ref="AD72:AD77" si="6">IF(AE72="",AD71,AD71+1)</f>
        <v>1</v>
      </c>
      <c r="AE72" s="91" t="str">
        <f>IF(E27="Rehabilitate Existing Bridge","",IF(X34&lt;X19,"***  Proposed FOR to FOR width = "&amp;X34&amp;"'.  Existing Bridge width = "&amp;X19&amp;"'.  Check Input!  ***",""))</f>
        <v>***  Proposed FOR to FOR width = 24'.  Existing Bridge width = 25'.  Check Input!  ***</v>
      </c>
      <c r="AF72" s="92"/>
      <c r="AG72" s="92"/>
      <c r="AH72" s="78"/>
      <c r="AI72" s="88">
        <f t="shared" si="4"/>
        <v>61</v>
      </c>
      <c r="AJ72" s="56">
        <f>1/AK9+AJ71</f>
        <v>0.4765625</v>
      </c>
      <c r="AK72" s="57" t="str">
        <f>" 61/"&amp;FIXED(AK9,0,FALSE)&amp;CHAR(34)</f>
        <v xml:space="preserve"> 61/128"</v>
      </c>
      <c r="AL72" s="44"/>
    </row>
    <row r="73" spans="1:38" ht="15" x14ac:dyDescent="0.25">
      <c r="A73" s="36">
        <f t="shared" si="5"/>
        <v>2</v>
      </c>
      <c r="B73" s="13"/>
      <c r="C73" s="181"/>
      <c r="D73" s="8" t="s">
        <v>163</v>
      </c>
      <c r="E73" s="8"/>
      <c r="F73" s="8"/>
      <c r="G73" s="8"/>
      <c r="H73" s="8"/>
      <c r="I73" s="8"/>
      <c r="J73" s="8"/>
      <c r="K73" s="8"/>
      <c r="L73" s="8"/>
      <c r="M73" s="8"/>
      <c r="N73" s="8"/>
      <c r="O73" s="36"/>
      <c r="P73" s="36"/>
      <c r="Q73" s="36"/>
      <c r="R73" s="36"/>
      <c r="S73" s="36"/>
      <c r="T73" s="36"/>
      <c r="U73" s="36"/>
      <c r="V73" s="36"/>
      <c r="W73" s="36"/>
      <c r="X73" s="36"/>
      <c r="Y73" s="36"/>
      <c r="Z73" s="36"/>
      <c r="AA73" s="36"/>
      <c r="AB73" s="36"/>
      <c r="AC73" s="36"/>
      <c r="AD73" s="93">
        <f t="shared" si="6"/>
        <v>1</v>
      </c>
      <c r="AE73" s="86" t="str">
        <f>IF(AND(L22="None Available",OR(ISNUMBER(K23),ISNUMBER(M23))),"***  Hydraulic Data = "&amp;L22&amp;" and Q value(s) &gt; 0.  Check Input!  ***",IF(AND(OR(L22="FEMA",L22="FIRM 2006"),AND(K23="-----",M23="-----")),IF(AE72="","1.","2. ")&amp;"***  Hydraulic Data = "&amp;L22&amp;" and Q value(s) = 0.  Check Input!  ***",""))</f>
        <v/>
      </c>
      <c r="AF73" s="40"/>
      <c r="AG73" s="40"/>
      <c r="AH73" s="74"/>
      <c r="AI73" s="88">
        <f t="shared" si="4"/>
        <v>62</v>
      </c>
      <c r="AJ73" s="56">
        <f>1/AK9+AJ72</f>
        <v>0.484375</v>
      </c>
      <c r="AK73" s="57" t="str">
        <f>" 31/"&amp;FIXED(AK9/2,0,FALSE)&amp;CHAR(34)</f>
        <v xml:space="preserve"> 31/64"</v>
      </c>
      <c r="AL73" s="44"/>
    </row>
    <row r="74" spans="1:38" ht="15" x14ac:dyDescent="0.25">
      <c r="A74" s="36">
        <f t="shared" si="5"/>
        <v>2</v>
      </c>
      <c r="B74" s="13"/>
      <c r="C74" s="181"/>
      <c r="D74" s="8" t="s">
        <v>198</v>
      </c>
      <c r="E74" s="8"/>
      <c r="F74" s="8"/>
      <c r="G74" s="8"/>
      <c r="H74" s="8"/>
      <c r="I74" s="8"/>
      <c r="J74" s="8"/>
      <c r="K74" s="8"/>
      <c r="L74" s="8"/>
      <c r="M74" s="8"/>
      <c r="N74" s="8"/>
      <c r="O74" s="36"/>
      <c r="P74" s="36"/>
      <c r="Q74" s="36"/>
      <c r="R74" s="36"/>
      <c r="S74" s="36"/>
      <c r="T74" s="36"/>
      <c r="U74" s="36"/>
      <c r="V74" s="36"/>
      <c r="W74" s="36"/>
      <c r="X74" s="36"/>
      <c r="Y74" s="36"/>
      <c r="Z74" s="36"/>
      <c r="AA74" s="36"/>
      <c r="AB74" s="36"/>
      <c r="AC74" s="36"/>
      <c r="AD74" s="93">
        <f t="shared" si="6"/>
        <v>1</v>
      </c>
      <c r="AE74" s="86" t="str">
        <f>IF(E27="Rehabilitate Existing Bridge","",IF(AND(ISBLANK(Waterway),ISBLANK(Hydraulic_Data)),"",IF(OR(Waterway="n/a",Hydraulic_Data="n/a"),"",IF(OR(AND(Hydraulic_Data="n/a",Waterway="No"),AND(Hydraulic_Data&lt;&gt;"n/a",Waterway="Yes")),"","*** Hydraulic Data "&amp;IF(AND(Hydraulic_Data&lt;&gt;"n/a",Waterway="No"),"Does Not Indicate","Indicates")&amp;" ''n/a'' and Waterway Input Indicates ''"&amp;Waterway&amp;"''!  This is Inconsistent!  Check! ***"))))</f>
        <v/>
      </c>
      <c r="AF74" s="40"/>
      <c r="AG74" s="40"/>
      <c r="AH74" s="74"/>
      <c r="AI74" s="88">
        <f t="shared" si="4"/>
        <v>63</v>
      </c>
      <c r="AJ74" s="56">
        <f>1/AK9+AJ73</f>
        <v>0.4921875</v>
      </c>
      <c r="AK74" s="57" t="str">
        <f>" 63/"&amp;FIXED(AK9,0,FALSE)&amp;CHAR(34)</f>
        <v xml:space="preserve"> 63/128"</v>
      </c>
      <c r="AL74" s="44"/>
    </row>
    <row r="75" spans="1:38" ht="15" x14ac:dyDescent="0.25">
      <c r="A75" s="36">
        <f t="shared" si="5"/>
        <v>2</v>
      </c>
      <c r="B75" s="13"/>
      <c r="C75" s="181"/>
      <c r="D75" s="8" t="s">
        <v>276</v>
      </c>
      <c r="E75" s="8"/>
      <c r="F75" s="8"/>
      <c r="G75" s="8"/>
      <c r="H75" s="8"/>
      <c r="I75" s="8"/>
      <c r="J75" s="8"/>
      <c r="K75" s="8"/>
      <c r="L75" s="8"/>
      <c r="M75" s="8"/>
      <c r="N75" s="8"/>
      <c r="O75" s="36"/>
      <c r="P75" s="36"/>
      <c r="Q75" s="36"/>
      <c r="R75" s="36"/>
      <c r="S75" s="36"/>
      <c r="T75" s="36"/>
      <c r="U75" s="36"/>
      <c r="V75" s="36"/>
      <c r="W75" s="36"/>
      <c r="X75" s="36"/>
      <c r="Y75" s="36"/>
      <c r="Z75" s="36"/>
      <c r="AA75" s="36"/>
      <c r="AB75" s="36"/>
      <c r="AC75" s="36"/>
      <c r="AD75" s="93">
        <f t="shared" si="6"/>
        <v>1</v>
      </c>
      <c r="AE75" s="87" t="str">
        <f>IF(AND(ISBLANK(R21),ISBLANK(T21)),"",IF(AND(R21&gt;0,ISBLANK(T21)),"*** Future ADT Traffic Count = ''"&amp;R21&amp;"'' and Future ADT Year Indicates ''"&amp;T21&amp;"''!  Input Correction Required! ***",""))</f>
        <v/>
      </c>
      <c r="AF75" s="40"/>
      <c r="AG75" s="40"/>
      <c r="AH75" s="74"/>
      <c r="AI75" s="89">
        <f t="shared" si="4"/>
        <v>64</v>
      </c>
      <c r="AJ75" s="69">
        <f>1/AK9+AJ74</f>
        <v>0.5</v>
      </c>
      <c r="AK75" s="70" t="str">
        <f>" 1/"&amp;FIXED(AK9/64,0,FALSE)&amp;CHAR(34)</f>
        <v xml:space="preserve"> 1/2"</v>
      </c>
      <c r="AL75" s="44"/>
    </row>
    <row r="76" spans="1:38" ht="15" x14ac:dyDescent="0.25">
      <c r="A76" s="36">
        <f t="shared" si="5"/>
        <v>2</v>
      </c>
      <c r="B76" s="13"/>
      <c r="C76" s="181"/>
      <c r="D76" s="8" t="str">
        <f>"Neither a Hydraulic Study or Stream Crossing Assessment has been completed.  "</f>
        <v xml:space="preserve">Neither a Hydraulic Study or Stream Crossing Assessment has been completed.  </v>
      </c>
      <c r="E76" s="8"/>
      <c r="F76" s="8"/>
      <c r="G76" s="8"/>
      <c r="H76" s="8"/>
      <c r="I76" s="8"/>
      <c r="J76" s="8"/>
      <c r="K76" s="8"/>
      <c r="L76" s="8"/>
      <c r="M76" s="8"/>
      <c r="N76" s="8"/>
      <c r="O76" s="36"/>
      <c r="P76" s="36"/>
      <c r="Q76" s="36"/>
      <c r="R76" s="36"/>
      <c r="S76" s="36"/>
      <c r="T76" s="36"/>
      <c r="U76" s="36"/>
      <c r="V76" s="36"/>
      <c r="W76" s="36"/>
      <c r="X76" s="36"/>
      <c r="Y76" s="36"/>
      <c r="Z76" s="36"/>
      <c r="AA76" s="36"/>
      <c r="AB76" s="36"/>
      <c r="AC76" s="36"/>
      <c r="AD76" s="93">
        <f t="shared" si="6"/>
        <v>1</v>
      </c>
      <c r="AE76" s="87" t="str">
        <f>IF(R26=S26,"*** Estimate 1 Type and Estimate 2 Type Can Not Be Equal!  Change one! ***",IF(R26="Rehabilitate Existing Bridge (2)","Estimate 1 Proposed Bridge Type must be something other than 'Rehabitate Existing Bridge (2)'!!",""))</f>
        <v/>
      </c>
      <c r="AF76" s="40"/>
      <c r="AG76" s="40"/>
      <c r="AH76" s="74"/>
      <c r="AI76" s="88">
        <f t="shared" si="4"/>
        <v>65</v>
      </c>
      <c r="AJ76" s="56">
        <f>1/AK9+AJ75</f>
        <v>0.5078125</v>
      </c>
      <c r="AK76" s="57" t="str">
        <f>" 65/"&amp;FIXED(AK9,0,FALSE)&amp;CHAR(34)</f>
        <v xml:space="preserve"> 65/128"</v>
      </c>
      <c r="AL76" s="44"/>
    </row>
    <row r="77" spans="1:38" ht="15" x14ac:dyDescent="0.25">
      <c r="A77" s="36">
        <f t="shared" ref="A77:A78" si="7">IF(ISBLANK(C77),A76,1+A76)</f>
        <v>2</v>
      </c>
      <c r="B77" s="13"/>
      <c r="C77" s="181"/>
      <c r="D77" s="8" t="str">
        <f>"Assumed Bank Full Width = "&amp;FIXED(R29,0)&amp;"'"</f>
        <v>Assumed Bank Full Width = 16'</v>
      </c>
      <c r="E77" s="8"/>
      <c r="F77" s="8"/>
      <c r="G77" s="8"/>
      <c r="H77" s="8"/>
      <c r="I77" s="8"/>
      <c r="J77" s="8"/>
      <c r="K77" s="8"/>
      <c r="L77" s="8"/>
      <c r="M77" s="8"/>
      <c r="N77" s="8"/>
      <c r="O77" s="36"/>
      <c r="P77" s="36"/>
      <c r="Q77" s="36"/>
      <c r="R77" s="36"/>
      <c r="S77" s="36"/>
      <c r="T77" s="36"/>
      <c r="U77" s="36"/>
      <c r="V77" s="36"/>
      <c r="W77" s="36"/>
      <c r="X77" s="36"/>
      <c r="Y77" s="36"/>
      <c r="Z77" s="36"/>
      <c r="AA77" s="36"/>
      <c r="AB77" s="36"/>
      <c r="AC77" s="36"/>
      <c r="AD77" s="93">
        <f t="shared" si="6"/>
        <v>1</v>
      </c>
      <c r="AE77" s="87" t="str">
        <f>IF(R27=S27,"*** Estimate 1 Type and Estimate 2 Type Can Not Be Equal!  Change one! ***",IF(R27="Rehabilitate Existing Bridge (2)","Estimate 1 Proposed Bridge Type must be something other than 'Rehabitate Existing Bridge (2)'!!",""))</f>
        <v/>
      </c>
      <c r="AF77" s="40"/>
      <c r="AG77" s="40"/>
      <c r="AH77" s="74"/>
      <c r="AI77" s="88">
        <f t="shared" si="4"/>
        <v>66</v>
      </c>
      <c r="AJ77" s="56" t="e">
        <f>1/AK10+AJ76</f>
        <v>#VALUE!</v>
      </c>
      <c r="AK77" s="57" t="e">
        <f>" 65/"&amp;FIXED(AK10,0,FALSE)&amp;CHAR(34)</f>
        <v>#VALUE!</v>
      </c>
      <c r="AL77" s="44"/>
    </row>
    <row r="78" spans="1:38" ht="15" x14ac:dyDescent="0.25">
      <c r="A78" s="36">
        <f t="shared" si="7"/>
        <v>2</v>
      </c>
      <c r="B78" s="13"/>
      <c r="C78" s="181"/>
      <c r="D78" s="8" t="str">
        <f>"Neither a Hydraulic Study or Stream Crossing Assessment has been completed.  Assumed Bank Full Width = "&amp;FIXED(R29,0)&amp;"'"</f>
        <v>Neither a Hydraulic Study or Stream Crossing Assessment has been completed.  Assumed Bank Full Width = 16'</v>
      </c>
      <c r="E78" s="8"/>
      <c r="F78" s="8"/>
      <c r="G78" s="8"/>
      <c r="H78" s="8"/>
      <c r="I78" s="8"/>
      <c r="J78" s="8"/>
      <c r="K78" s="8"/>
      <c r="L78" s="8"/>
      <c r="M78" s="8"/>
      <c r="N78" s="8"/>
      <c r="O78" s="36"/>
      <c r="P78" s="36"/>
      <c r="Q78" s="36"/>
      <c r="R78" s="36"/>
      <c r="S78" s="36"/>
      <c r="T78" s="36"/>
      <c r="U78" s="36"/>
      <c r="V78" s="36"/>
      <c r="W78" s="36"/>
      <c r="X78" s="36"/>
      <c r="Y78" s="36"/>
      <c r="Z78" s="36"/>
      <c r="AA78" s="36"/>
      <c r="AB78" s="36"/>
      <c r="AC78" s="36"/>
      <c r="AD78" s="93">
        <f>IF(AE78="",AD76,AD76+1)</f>
        <v>1</v>
      </c>
      <c r="AE78" s="87" t="str">
        <f>IF(R27=S27,"*** Estimate 1 Type and Estimate 2 Type Can Not Be Equal!  Change one! ***",IF(R27="Rehabilitate Existing Bridge (2)","Estimate 1 Proposed Bridge Type must be something other than 'Rehabitate Existing Bridge (2)'!!",""))</f>
        <v/>
      </c>
      <c r="AF78" s="40"/>
      <c r="AG78" s="40"/>
      <c r="AH78" s="74"/>
      <c r="AI78" s="88">
        <f>1+AI76</f>
        <v>66</v>
      </c>
      <c r="AJ78" s="56" t="e">
        <f>1/AK10+AJ76</f>
        <v>#VALUE!</v>
      </c>
      <c r="AK78" s="57" t="e">
        <f>" 65/"&amp;FIXED(AK10,0,FALSE)&amp;CHAR(34)</f>
        <v>#VALUE!</v>
      </c>
      <c r="AL78" s="44"/>
    </row>
    <row r="79" spans="1:38" ht="15" x14ac:dyDescent="0.25">
      <c r="A79" s="36">
        <f t="shared" ref="A79:A81" si="8">IF(ISBLANK(C79),A78,1+A78)</f>
        <v>2</v>
      </c>
      <c r="B79" s="13"/>
      <c r="C79" s="181"/>
      <c r="D79" s="8" t="s">
        <v>355</v>
      </c>
      <c r="E79" s="8"/>
      <c r="F79" s="8"/>
      <c r="G79" s="8"/>
      <c r="H79" s="8"/>
      <c r="I79" s="8"/>
      <c r="J79" s="8"/>
      <c r="K79" s="8"/>
      <c r="L79" s="8"/>
      <c r="M79" s="8"/>
      <c r="N79" s="8"/>
      <c r="O79" s="36"/>
      <c r="P79" s="36"/>
      <c r="Q79" s="36"/>
      <c r="R79" s="36"/>
      <c r="S79" s="36"/>
      <c r="T79" s="36"/>
      <c r="U79" s="36"/>
      <c r="V79" s="36"/>
      <c r="W79" s="36"/>
      <c r="X79" s="36"/>
      <c r="Y79" s="36"/>
      <c r="Z79" s="36"/>
      <c r="AA79" s="36"/>
      <c r="AB79" s="36"/>
      <c r="AC79" s="36"/>
      <c r="AD79" s="93">
        <f>IF(AE79="",AD76,AD76+1)</f>
        <v>1</v>
      </c>
      <c r="AE79" s="87" t="str">
        <f>IF(R27=S27,"*** Estimate 1 Type and Estimate 2 Type Can Not Be Equal!  Change one! ***",IF(R27="Rehabilitate Existing Bridge (2)","Estimate 1 Proposed Bridge Type must be something other than 'Rehabitate Existing Bridge (2)'!!",""))</f>
        <v/>
      </c>
      <c r="AF79" s="40"/>
      <c r="AG79" s="40"/>
      <c r="AH79" s="74"/>
      <c r="AI79" s="88">
        <f>1+AI76</f>
        <v>66</v>
      </c>
      <c r="AJ79" s="56" t="e">
        <f>1/AK10+AJ76</f>
        <v>#VALUE!</v>
      </c>
      <c r="AK79" s="57" t="e">
        <f>" 65/"&amp;FIXED(AK10,0,FALSE)&amp;CHAR(34)</f>
        <v>#VALUE!</v>
      </c>
      <c r="AL79" s="44"/>
    </row>
    <row r="80" spans="1:38" ht="15" x14ac:dyDescent="0.25">
      <c r="A80" s="36">
        <f t="shared" si="8"/>
        <v>2</v>
      </c>
      <c r="B80" s="13"/>
      <c r="C80" s="181"/>
      <c r="D80" s="8" t="s">
        <v>282</v>
      </c>
      <c r="E80" s="8"/>
      <c r="F80" s="8"/>
      <c r="G80" s="8"/>
      <c r="H80" s="8"/>
      <c r="I80" s="8"/>
      <c r="J80" s="8"/>
      <c r="K80" s="8"/>
      <c r="L80" s="8"/>
      <c r="M80" s="8"/>
      <c r="N80" s="8"/>
      <c r="O80" s="36"/>
      <c r="P80" s="36"/>
      <c r="Q80" s="36"/>
      <c r="R80" s="36"/>
      <c r="S80" s="36"/>
      <c r="T80" s="36"/>
      <c r="U80" s="36"/>
      <c r="V80" s="36"/>
      <c r="W80" s="36"/>
      <c r="X80" s="36"/>
      <c r="Y80" s="36"/>
      <c r="Z80" s="36"/>
      <c r="AA80" s="36"/>
      <c r="AB80" s="36"/>
      <c r="AC80" s="36"/>
      <c r="AD80" s="94" t="s">
        <v>137</v>
      </c>
      <c r="AE80" s="40"/>
      <c r="AF80" s="40"/>
      <c r="AG80" s="40"/>
      <c r="AH80" s="74"/>
      <c r="AI80" s="88">
        <f>1+AI76</f>
        <v>66</v>
      </c>
      <c r="AJ80" s="56">
        <f>1/AK9+AJ76</f>
        <v>0.515625</v>
      </c>
      <c r="AK80" s="57" t="str">
        <f>" 33/"&amp;FIXED(AK9/2,0,FALSE)&amp;CHAR(34)</f>
        <v xml:space="preserve"> 33/64"</v>
      </c>
      <c r="AL80" s="44"/>
    </row>
    <row r="81" spans="1:38" ht="15" x14ac:dyDescent="0.25">
      <c r="A81" s="36">
        <f t="shared" si="8"/>
        <v>2</v>
      </c>
      <c r="B81" s="13"/>
      <c r="C81" s="181"/>
      <c r="D81" s="8" t="s">
        <v>359</v>
      </c>
      <c r="E81" s="8"/>
      <c r="F81" s="8"/>
      <c r="G81" s="8"/>
      <c r="H81" s="8"/>
      <c r="I81" s="8"/>
      <c r="J81" s="8"/>
      <c r="K81" s="8"/>
      <c r="L81" s="8"/>
      <c r="M81" s="8"/>
      <c r="N81" s="8"/>
      <c r="O81" s="36"/>
      <c r="P81" s="36"/>
      <c r="Q81" s="36"/>
      <c r="R81" s="36"/>
      <c r="S81" s="36"/>
      <c r="T81" s="36"/>
      <c r="U81" s="36"/>
      <c r="V81" s="36"/>
      <c r="W81" s="36"/>
      <c r="X81" s="36"/>
      <c r="Y81" s="36"/>
      <c r="Z81" s="36"/>
      <c r="AA81" s="36"/>
      <c r="AB81" s="36"/>
      <c r="AC81" s="36"/>
      <c r="AD81" s="94">
        <v>1</v>
      </c>
      <c r="AE81" s="40" t="str">
        <f>IF(AD81&gt;MAX($AD$72:$AD$76),"",INDEX($AE$72:$AE$76,MATCH(AD81,$AD$72:$AD$76,0),1))</f>
        <v>***  Proposed FOR to FOR width = 24'.  Existing Bridge width = 25'.  Check Input!  ***</v>
      </c>
      <c r="AF81" s="40"/>
      <c r="AG81" s="40"/>
      <c r="AH81" s="74"/>
      <c r="AI81" s="88">
        <f t="shared" si="4"/>
        <v>67</v>
      </c>
      <c r="AJ81" s="56">
        <f>1/AK9+AJ80</f>
        <v>0.5234375</v>
      </c>
      <c r="AK81" s="57" t="str">
        <f>" 67/"&amp;FIXED(AK9,0,FALSE)&amp;CHAR(34)</f>
        <v xml:space="preserve"> 67/128"</v>
      </c>
      <c r="AL81" s="44"/>
    </row>
    <row r="82" spans="1:38" ht="15" x14ac:dyDescent="0.25">
      <c r="A82" s="36">
        <f t="shared" si="5"/>
        <v>3</v>
      </c>
      <c r="B82" s="13"/>
      <c r="C82" s="181" t="s">
        <v>257</v>
      </c>
      <c r="D82" s="8" t="str">
        <f>"A Hydraulic Study has not been completed. Replacing the bridge with an estimated hydraulic span of "&amp;TEXT(R32,"#,#00")&amp;"' (existing span) reduces the estimated structure costs by $"&amp;TEXT(Y60/1000,"#,###")&amp;"K."&amp;IF(T59=T42,"","(@ $"&amp;FIXED(T59,0)&amp;"/s.f.)")</f>
        <v>A Hydraulic Study has not been completed. Replacing the bridge with an estimated hydraulic span of 10' (existing span) reduces the estimated structure costs by $70K.</v>
      </c>
      <c r="E82" s="8"/>
      <c r="F82" s="8"/>
      <c r="G82" s="8"/>
      <c r="H82" s="8"/>
      <c r="I82" s="8"/>
      <c r="J82" s="8"/>
      <c r="K82" s="8"/>
      <c r="L82" s="8"/>
      <c r="M82" s="8"/>
      <c r="N82" s="8"/>
      <c r="O82" s="36"/>
      <c r="P82" s="36"/>
      <c r="Q82" s="36"/>
      <c r="R82" s="36"/>
      <c r="S82" s="36"/>
      <c r="T82" s="36"/>
      <c r="U82" s="36"/>
      <c r="V82" s="36"/>
      <c r="W82" s="36"/>
      <c r="X82" s="36"/>
      <c r="Y82" s="36"/>
      <c r="Z82" s="36"/>
      <c r="AA82" s="36"/>
      <c r="AB82" s="36"/>
      <c r="AC82" s="36"/>
      <c r="AD82" s="94">
        <v>2</v>
      </c>
      <c r="AE82" s="40" t="str">
        <f>IF(AD82&gt;MAX($AD$72:$AD$76),"",INDEX($AE$72:$AE$76,MATCH(AD82,$AD$72:$AD$76,0),1))</f>
        <v/>
      </c>
      <c r="AF82" s="40"/>
      <c r="AG82" s="40"/>
      <c r="AH82" s="74"/>
      <c r="AI82" s="88">
        <f t="shared" si="4"/>
        <v>68</v>
      </c>
      <c r="AJ82" s="56">
        <f>1/AK9+AJ81</f>
        <v>0.53125</v>
      </c>
      <c r="AK82" s="57" t="str">
        <f>" 17/"&amp;FIXED(AK9/4,0,FALSE)&amp;CHAR(34)</f>
        <v xml:space="preserve"> 17/32"</v>
      </c>
      <c r="AL82" s="44"/>
    </row>
    <row r="83" spans="1:38" ht="15" x14ac:dyDescent="0.25">
      <c r="A83" s="36">
        <f t="shared" si="5"/>
        <v>4</v>
      </c>
      <c r="B83" s="13"/>
      <c r="C83" s="181" t="s">
        <v>257</v>
      </c>
      <c r="D83" s="8" t="s">
        <v>328</v>
      </c>
      <c r="E83" s="8"/>
      <c r="F83" s="8"/>
      <c r="G83" s="8"/>
      <c r="H83" s="8"/>
      <c r="I83" s="8"/>
      <c r="J83" s="8"/>
      <c r="K83" s="8"/>
      <c r="L83" s="8"/>
      <c r="M83" s="8"/>
      <c r="N83" s="8"/>
      <c r="O83" s="36"/>
      <c r="P83" s="36"/>
      <c r="Q83" s="36"/>
      <c r="R83" s="36"/>
      <c r="S83" s="36"/>
      <c r="T83" s="36"/>
      <c r="U83" s="36"/>
      <c r="V83" s="36"/>
      <c r="W83" s="36"/>
      <c r="X83" s="36"/>
      <c r="Y83" s="36"/>
      <c r="Z83" s="36"/>
      <c r="AA83" s="36"/>
      <c r="AB83" s="36"/>
      <c r="AC83" s="36"/>
      <c r="AD83" s="94">
        <v>3</v>
      </c>
      <c r="AE83" s="40" t="str">
        <f>IF(AD83&gt;MAX($AD$72:$AD$76),"",INDEX($AE$72:$AE$76,MATCH(AD83,$AD$72:$AD$76,0),1))</f>
        <v/>
      </c>
      <c r="AF83" s="40"/>
      <c r="AG83" s="40"/>
      <c r="AH83" s="74"/>
      <c r="AI83" s="55">
        <f t="shared" si="4"/>
        <v>69</v>
      </c>
      <c r="AJ83" s="56">
        <f>1/AK9+AJ82</f>
        <v>0.5390625</v>
      </c>
      <c r="AK83" s="57" t="str">
        <f>" 69/"&amp;FIXED(AK9,0,FALSE)&amp;CHAR(34)</f>
        <v xml:space="preserve"> 69/128"</v>
      </c>
      <c r="AL83" s="44"/>
    </row>
    <row r="84" spans="1:38" ht="15" x14ac:dyDescent="0.25">
      <c r="A84" s="36">
        <f t="shared" si="5"/>
        <v>4</v>
      </c>
      <c r="B84" s="13"/>
      <c r="C84" s="181"/>
      <c r="D84" s="8" t="s">
        <v>222</v>
      </c>
      <c r="E84" s="8"/>
      <c r="F84" s="8"/>
      <c r="G84" s="8"/>
      <c r="H84" s="8"/>
      <c r="I84" s="8"/>
      <c r="J84" s="8"/>
      <c r="K84" s="8"/>
      <c r="L84" s="8"/>
      <c r="M84" s="8"/>
      <c r="N84" s="8"/>
      <c r="O84" s="36"/>
      <c r="P84" s="36"/>
      <c r="Q84" s="36"/>
      <c r="R84" s="36"/>
      <c r="S84" s="36"/>
      <c r="T84" s="36"/>
      <c r="U84" s="36"/>
      <c r="V84" s="36"/>
      <c r="W84" s="36"/>
      <c r="X84" s="36"/>
      <c r="Y84" s="36"/>
      <c r="Z84" s="36"/>
      <c r="AA84" s="36"/>
      <c r="AB84" s="36"/>
      <c r="AC84" s="36"/>
      <c r="AD84" s="94">
        <v>4</v>
      </c>
      <c r="AE84" s="40" t="str">
        <f>IF(AD84&gt;MAX($AD$72:$AD$76),"",INDEX($AE$72:$AE$76,MATCH(AD84,$AD$72:$AD$76,0),1))</f>
        <v/>
      </c>
      <c r="AF84" s="40"/>
      <c r="AG84" s="40"/>
      <c r="AH84" s="74"/>
      <c r="AI84" s="55">
        <f t="shared" si="4"/>
        <v>70</v>
      </c>
      <c r="AJ84" s="56">
        <f>1/AK9+AJ83</f>
        <v>0.546875</v>
      </c>
      <c r="AK84" s="57" t="str">
        <f>" 35/"&amp;FIXED(AK9/2,0,FALSE)&amp;CHAR(34)</f>
        <v xml:space="preserve"> 35/64"</v>
      </c>
      <c r="AL84" s="44"/>
    </row>
    <row r="85" spans="1:38" ht="15" x14ac:dyDescent="0.25">
      <c r="A85" s="36">
        <f t="shared" si="5"/>
        <v>4</v>
      </c>
      <c r="B85" s="13"/>
      <c r="C85" s="181"/>
      <c r="D85" s="8" t="s">
        <v>342</v>
      </c>
      <c r="E85" s="8"/>
      <c r="F85" s="8"/>
      <c r="G85" s="8"/>
      <c r="H85" s="8"/>
      <c r="I85" s="8"/>
      <c r="J85" s="8"/>
      <c r="K85" s="8"/>
      <c r="L85" s="8"/>
      <c r="M85" s="8"/>
      <c r="N85" s="8"/>
      <c r="O85" s="36"/>
      <c r="P85" s="36"/>
      <c r="Q85" s="36"/>
      <c r="R85" s="36"/>
      <c r="S85" s="36"/>
      <c r="T85" s="36"/>
      <c r="U85" s="36"/>
      <c r="V85" s="36"/>
      <c r="W85" s="36"/>
      <c r="X85" s="36"/>
      <c r="Y85" s="36"/>
      <c r="Z85" s="36"/>
      <c r="AA85" s="36"/>
      <c r="AB85" s="36"/>
      <c r="AC85" s="36"/>
      <c r="AD85" s="95">
        <v>5</v>
      </c>
      <c r="AE85" s="96" t="str">
        <f>IF(AD85&gt;MAX($AD$72:$AD$76),"",INDEX($AE$72:$AE$76,MATCH(AD85,$AD$72:$AD$76,0),1))</f>
        <v/>
      </c>
      <c r="AF85" s="96"/>
      <c r="AG85" s="96"/>
      <c r="AH85" s="79"/>
      <c r="AI85" s="55">
        <f t="shared" si="4"/>
        <v>71</v>
      </c>
      <c r="AJ85" s="56">
        <f>1/AK9+AJ84</f>
        <v>0.5546875</v>
      </c>
      <c r="AK85" s="57" t="str">
        <f>" 71/"&amp;FIXED(AK9,0,FALSE)&amp;CHAR(34)</f>
        <v xml:space="preserve"> 71/128"</v>
      </c>
      <c r="AL85" s="44"/>
    </row>
    <row r="86" spans="1:38" ht="15" x14ac:dyDescent="0.25">
      <c r="A86" s="36">
        <f t="shared" si="5"/>
        <v>4</v>
      </c>
      <c r="B86" s="13"/>
      <c r="C86" s="181"/>
      <c r="D86" s="8" t="s">
        <v>327</v>
      </c>
      <c r="E86" s="8"/>
      <c r="F86" s="8"/>
      <c r="G86" s="8"/>
      <c r="H86" s="8"/>
      <c r="I86" s="8"/>
      <c r="J86" s="8"/>
      <c r="K86" s="8"/>
      <c r="L86" s="8"/>
      <c r="M86" s="8"/>
      <c r="N86" s="8"/>
      <c r="O86" s="36"/>
      <c r="P86" s="36"/>
      <c r="Q86" s="36"/>
      <c r="R86" s="36"/>
      <c r="S86" s="36"/>
      <c r="T86" s="36"/>
      <c r="U86" s="36"/>
      <c r="V86" s="36"/>
      <c r="W86" s="36"/>
      <c r="X86" s="36"/>
      <c r="Y86" s="36"/>
      <c r="Z86" s="36"/>
      <c r="AA86" s="36"/>
      <c r="AB86" s="36"/>
      <c r="AC86" s="36"/>
      <c r="AD86" s="36"/>
      <c r="AE86" s="36"/>
      <c r="AF86" s="36"/>
      <c r="AG86" s="36"/>
      <c r="AH86" s="36"/>
      <c r="AI86" s="55">
        <f t="shared" si="4"/>
        <v>72</v>
      </c>
      <c r="AJ86" s="56">
        <f>1/AK9+AJ85</f>
        <v>0.5625</v>
      </c>
      <c r="AK86" s="57" t="str">
        <f>" 9/"&amp;FIXED(AK9/8,0,FALSE)&amp;CHAR(34)</f>
        <v xml:space="preserve"> 9/16"</v>
      </c>
      <c r="AL86" s="44"/>
    </row>
    <row r="87" spans="1:38" ht="15" x14ac:dyDescent="0.25">
      <c r="A87" s="13"/>
      <c r="B87" s="13"/>
      <c r="C87" s="13"/>
      <c r="D87" s="13"/>
      <c r="E87" s="13"/>
      <c r="F87" s="13"/>
      <c r="G87" s="13"/>
      <c r="H87" s="13"/>
      <c r="I87" s="13"/>
      <c r="J87" s="13"/>
      <c r="K87" s="13"/>
      <c r="L87" s="13"/>
      <c r="M87" s="13"/>
      <c r="N87" s="13"/>
      <c r="O87" s="13"/>
      <c r="P87" s="36"/>
      <c r="Q87" s="36"/>
      <c r="R87" s="36"/>
      <c r="S87" s="36"/>
      <c r="T87" s="36"/>
      <c r="U87" s="36"/>
      <c r="V87" s="36"/>
      <c r="W87" s="36"/>
      <c r="X87" s="36"/>
      <c r="Y87" s="36"/>
      <c r="Z87" s="36"/>
      <c r="AA87" s="36"/>
      <c r="AB87" s="36"/>
      <c r="AC87" s="36"/>
      <c r="AD87" s="36"/>
      <c r="AE87" s="36"/>
      <c r="AF87" s="36"/>
      <c r="AG87" s="36"/>
      <c r="AH87" s="36"/>
      <c r="AI87" s="55">
        <f t="shared" si="4"/>
        <v>73</v>
      </c>
      <c r="AJ87" s="56">
        <f>1/AK9+AJ86</f>
        <v>0.5703125</v>
      </c>
      <c r="AK87" s="57" t="str">
        <f>" 73/"&amp;FIXED(AK9,0,FALSE)&amp;CHAR(34)</f>
        <v xml:space="preserve"> 73/128"</v>
      </c>
      <c r="AL87" s="44"/>
    </row>
    <row r="88" spans="1:38" ht="15" x14ac:dyDescent="0.25">
      <c r="A88" s="13"/>
      <c r="B88" s="13"/>
      <c r="C88" s="13"/>
      <c r="D88" s="13"/>
      <c r="E88" s="13"/>
      <c r="F88" s="13"/>
      <c r="G88" s="13"/>
      <c r="H88" s="13"/>
      <c r="I88" s="13"/>
      <c r="J88" s="13"/>
      <c r="K88" s="13"/>
      <c r="L88" s="13"/>
      <c r="M88" s="13"/>
      <c r="N88" s="13"/>
      <c r="O88" s="13"/>
      <c r="P88" s="36"/>
      <c r="Q88" s="36"/>
      <c r="R88" s="36"/>
      <c r="S88" s="36"/>
      <c r="T88" s="36"/>
      <c r="U88" s="36"/>
      <c r="V88" s="36"/>
      <c r="W88" s="36"/>
      <c r="X88" s="36"/>
      <c r="Y88" s="36"/>
      <c r="Z88" s="36"/>
      <c r="AA88" s="36"/>
      <c r="AB88" s="36"/>
      <c r="AC88" s="36"/>
      <c r="AD88" s="36"/>
      <c r="AE88" s="36"/>
      <c r="AF88" s="36"/>
      <c r="AG88" s="36"/>
      <c r="AH88" s="36"/>
      <c r="AI88" s="55">
        <f t="shared" si="4"/>
        <v>74</v>
      </c>
      <c r="AJ88" s="56">
        <f>1/AK9+AJ87</f>
        <v>0.578125</v>
      </c>
      <c r="AK88" s="57" t="str">
        <f>" 37/"&amp;FIXED(AK9/2,0,FALSE)&amp;CHAR(34)</f>
        <v xml:space="preserve"> 37/64"</v>
      </c>
      <c r="AL88" s="44"/>
    </row>
    <row r="89" spans="1:38" ht="15" x14ac:dyDescent="0.25">
      <c r="A89" s="13"/>
      <c r="B89" s="13"/>
      <c r="C89" s="13"/>
      <c r="D89" s="13"/>
      <c r="E89" s="13"/>
      <c r="F89" s="13"/>
      <c r="G89" s="13"/>
      <c r="H89" s="13"/>
      <c r="I89" s="13"/>
      <c r="J89" s="13"/>
      <c r="K89" s="13"/>
      <c r="L89" s="13"/>
      <c r="M89" s="13"/>
      <c r="N89" s="13"/>
      <c r="O89" s="13"/>
      <c r="P89" s="36"/>
      <c r="Q89" s="36"/>
      <c r="R89" s="36"/>
      <c r="S89" s="36"/>
      <c r="T89" s="36"/>
      <c r="U89" s="36"/>
      <c r="V89" s="36"/>
      <c r="W89" s="36"/>
      <c r="X89" s="36"/>
      <c r="Y89" s="36"/>
      <c r="Z89" s="36"/>
      <c r="AA89" s="36"/>
      <c r="AB89" s="36"/>
      <c r="AC89" s="36"/>
      <c r="AD89" s="36"/>
      <c r="AE89" s="36"/>
      <c r="AF89" s="36"/>
      <c r="AG89" s="36"/>
      <c r="AH89" s="36"/>
      <c r="AI89" s="55">
        <f t="shared" ref="AI89:AI110" si="9">1+AI88</f>
        <v>75</v>
      </c>
      <c r="AJ89" s="56">
        <f>1/AK9+AJ88</f>
        <v>0.5859375</v>
      </c>
      <c r="AK89" s="57" t="str">
        <f>" 75/"&amp;FIXED(AK9,0,FALSE)&amp;CHAR(34)</f>
        <v xml:space="preserve"> 75/128"</v>
      </c>
      <c r="AL89" s="44"/>
    </row>
    <row r="90" spans="1:38" ht="15" x14ac:dyDescent="0.25">
      <c r="A90" s="13"/>
      <c r="B90" s="13"/>
      <c r="C90" s="13"/>
      <c r="D90" s="13"/>
      <c r="E90" s="13"/>
      <c r="F90" s="13"/>
      <c r="G90" s="13"/>
      <c r="H90" s="13"/>
      <c r="I90" s="13"/>
      <c r="J90" s="13"/>
      <c r="K90" s="13"/>
      <c r="L90" s="13"/>
      <c r="M90" s="13"/>
      <c r="N90" s="13"/>
      <c r="O90" s="13"/>
      <c r="P90" s="36"/>
      <c r="Q90" s="36"/>
      <c r="R90" s="36"/>
      <c r="S90" s="36"/>
      <c r="T90" s="36"/>
      <c r="U90" s="36"/>
      <c r="V90" s="36"/>
      <c r="W90" s="36"/>
      <c r="X90" s="36"/>
      <c r="Y90" s="36"/>
      <c r="Z90" s="36"/>
      <c r="AA90" s="36"/>
      <c r="AB90" s="36"/>
      <c r="AC90" s="36"/>
      <c r="AD90" s="36"/>
      <c r="AE90" s="36"/>
      <c r="AF90" s="36"/>
      <c r="AG90" s="36"/>
      <c r="AH90" s="36"/>
      <c r="AI90" s="55">
        <f t="shared" si="9"/>
        <v>76</v>
      </c>
      <c r="AJ90" s="56">
        <f>1/AK9+AJ89</f>
        <v>0.59375</v>
      </c>
      <c r="AK90" s="57" t="str">
        <f>" 19/"&amp;FIXED(AK9/4,0,FALSE)&amp;CHAR(34)</f>
        <v xml:space="preserve"> 19/32"</v>
      </c>
      <c r="AL90" s="44"/>
    </row>
    <row r="91" spans="1:38" ht="15" x14ac:dyDescent="0.25">
      <c r="A91" s="13"/>
      <c r="B91" s="13"/>
      <c r="C91" s="13"/>
      <c r="D91" s="13"/>
      <c r="E91" s="13"/>
      <c r="F91" s="13"/>
      <c r="G91" s="13"/>
      <c r="H91" s="13"/>
      <c r="I91" s="13"/>
      <c r="J91" s="13"/>
      <c r="K91" s="13"/>
      <c r="L91" s="13"/>
      <c r="M91" s="13"/>
      <c r="N91" s="13"/>
      <c r="O91" s="13"/>
      <c r="P91" s="36"/>
      <c r="Q91" s="36"/>
      <c r="R91" s="36"/>
      <c r="S91" s="36"/>
      <c r="T91" s="36"/>
      <c r="U91" s="36"/>
      <c r="V91" s="36"/>
      <c r="W91" s="36"/>
      <c r="X91" s="36"/>
      <c r="Y91" s="36"/>
      <c r="Z91" s="36"/>
      <c r="AA91" s="36"/>
      <c r="AB91" s="36"/>
      <c r="AC91" s="36"/>
      <c r="AD91" s="36"/>
      <c r="AE91" s="36"/>
      <c r="AF91" s="36"/>
      <c r="AG91" s="36"/>
      <c r="AH91" s="36"/>
      <c r="AI91" s="55">
        <f t="shared" si="9"/>
        <v>77</v>
      </c>
      <c r="AJ91" s="56">
        <f>1/AK9+AJ90</f>
        <v>0.6015625</v>
      </c>
      <c r="AK91" s="57" t="str">
        <f>" 77/"&amp;FIXED(AK9,0,FALSE)&amp;CHAR(34)</f>
        <v xml:space="preserve"> 77/128"</v>
      </c>
      <c r="AL91" s="44"/>
    </row>
    <row r="92" spans="1:38" ht="15" x14ac:dyDescent="0.25">
      <c r="A92" s="13"/>
      <c r="B92" s="13"/>
      <c r="C92" s="13"/>
      <c r="D92" s="13"/>
      <c r="E92" s="13"/>
      <c r="F92" s="13"/>
      <c r="G92" s="13"/>
      <c r="H92" s="13"/>
      <c r="I92" s="13"/>
      <c r="J92" s="13"/>
      <c r="K92" s="13"/>
      <c r="L92" s="13"/>
      <c r="M92" s="13"/>
      <c r="N92" s="13"/>
      <c r="O92" s="13"/>
      <c r="P92" s="36"/>
      <c r="Q92" s="36"/>
      <c r="R92" s="36"/>
      <c r="S92" s="36"/>
      <c r="T92" s="36"/>
      <c r="U92" s="36"/>
      <c r="V92" s="36"/>
      <c r="W92" s="36"/>
      <c r="X92" s="36"/>
      <c r="Y92" s="36"/>
      <c r="Z92" s="36"/>
      <c r="AA92" s="36"/>
      <c r="AB92" s="36"/>
      <c r="AC92" s="36"/>
      <c r="AD92" s="36"/>
      <c r="AE92" s="36"/>
      <c r="AF92" s="36"/>
      <c r="AG92" s="36"/>
      <c r="AH92" s="36"/>
      <c r="AI92" s="55">
        <f t="shared" si="9"/>
        <v>78</v>
      </c>
      <c r="AJ92" s="56">
        <f>1/AK9+AJ91</f>
        <v>0.609375</v>
      </c>
      <c r="AK92" s="57" t="str">
        <f>" 39/"&amp;FIXED(AK9/2,0,FALSE)&amp;CHAR(34)</f>
        <v xml:space="preserve"> 39/64"</v>
      </c>
      <c r="AL92" s="44"/>
    </row>
    <row r="93" spans="1:38" ht="15" x14ac:dyDescent="0.25">
      <c r="A93" s="13"/>
      <c r="B93" s="13"/>
      <c r="C93" s="13"/>
      <c r="D93" s="13"/>
      <c r="E93" s="13"/>
      <c r="F93" s="13"/>
      <c r="G93" s="13"/>
      <c r="H93" s="13"/>
      <c r="I93" s="13"/>
      <c r="J93" s="13"/>
      <c r="K93" s="13"/>
      <c r="L93" s="13"/>
      <c r="M93" s="13"/>
      <c r="N93" s="13"/>
      <c r="O93" s="13"/>
      <c r="P93" s="30"/>
      <c r="Q93" s="36"/>
      <c r="R93" s="36"/>
      <c r="S93" s="36"/>
      <c r="T93" s="36"/>
      <c r="U93" s="36"/>
      <c r="V93" s="36"/>
      <c r="W93" s="36"/>
      <c r="X93" s="36"/>
      <c r="Y93" s="36"/>
      <c r="Z93" s="36"/>
      <c r="AA93" s="36"/>
      <c r="AB93" s="36"/>
      <c r="AC93" s="36"/>
      <c r="AD93" s="36"/>
      <c r="AE93" s="36"/>
      <c r="AF93" s="36"/>
      <c r="AG93" s="36"/>
      <c r="AH93" s="36"/>
      <c r="AI93" s="55">
        <f t="shared" si="9"/>
        <v>79</v>
      </c>
      <c r="AJ93" s="56">
        <f>1/AK9+AJ92</f>
        <v>0.6171875</v>
      </c>
      <c r="AK93" s="57" t="str">
        <f>" 79/"&amp;FIXED(AK9,0,FALSE)&amp;CHAR(34)</f>
        <v xml:space="preserve"> 79/128"</v>
      </c>
      <c r="AL93" s="44"/>
    </row>
    <row r="94" spans="1:38" ht="15" x14ac:dyDescent="0.25">
      <c r="A94" s="13"/>
      <c r="B94" s="13"/>
      <c r="C94" s="13"/>
      <c r="D94" s="13"/>
      <c r="E94" s="13"/>
      <c r="F94" s="13"/>
      <c r="G94" s="13"/>
      <c r="H94" s="13"/>
      <c r="I94" s="13"/>
      <c r="J94" s="13"/>
      <c r="K94" s="13"/>
      <c r="L94" s="13"/>
      <c r="M94" s="13"/>
      <c r="N94" s="13"/>
      <c r="O94" s="13"/>
      <c r="P94" s="30"/>
      <c r="Q94" s="36"/>
      <c r="R94" s="36"/>
      <c r="S94" s="36"/>
      <c r="T94" s="36"/>
      <c r="U94" s="36"/>
      <c r="V94" s="36"/>
      <c r="W94" s="36"/>
      <c r="X94" s="36"/>
      <c r="Y94" s="36"/>
      <c r="Z94" s="36"/>
      <c r="AA94" s="36"/>
      <c r="AB94" s="36"/>
      <c r="AC94" s="36"/>
      <c r="AD94" s="36"/>
      <c r="AE94" s="36"/>
      <c r="AF94" s="36"/>
      <c r="AG94" s="36"/>
      <c r="AH94" s="36"/>
      <c r="AI94" s="55">
        <f t="shared" si="9"/>
        <v>80</v>
      </c>
      <c r="AJ94" s="56">
        <f>1/AK9+AJ93</f>
        <v>0.625</v>
      </c>
      <c r="AK94" s="57" t="str">
        <f>" 5/"&amp;FIXED(AK9/16,0,FALSE)&amp;CHAR(34)</f>
        <v xml:space="preserve"> 5/8"</v>
      </c>
      <c r="AL94" s="44"/>
    </row>
    <row r="95" spans="1:38" ht="15" x14ac:dyDescent="0.25">
      <c r="A95" s="13"/>
      <c r="B95" s="13"/>
      <c r="C95" s="13"/>
      <c r="D95" s="13"/>
      <c r="E95" s="13"/>
      <c r="F95" s="13"/>
      <c r="G95" s="13"/>
      <c r="H95" s="13"/>
      <c r="I95" s="13"/>
      <c r="J95" s="13"/>
      <c r="K95" s="13"/>
      <c r="L95" s="13"/>
      <c r="M95" s="13"/>
      <c r="N95" s="13"/>
      <c r="O95" s="13"/>
      <c r="P95" s="30"/>
      <c r="Q95" s="36"/>
      <c r="R95" s="36"/>
      <c r="S95" s="36"/>
      <c r="T95" s="36"/>
      <c r="U95" s="36"/>
      <c r="V95" s="36"/>
      <c r="W95" s="36"/>
      <c r="X95" s="36"/>
      <c r="Y95" s="36"/>
      <c r="Z95" s="36"/>
      <c r="AA95" s="36"/>
      <c r="AB95" s="36"/>
      <c r="AC95" s="36"/>
      <c r="AD95" s="36"/>
      <c r="AE95" s="36"/>
      <c r="AF95" s="36"/>
      <c r="AG95" s="36"/>
      <c r="AH95" s="36"/>
      <c r="AI95" s="55">
        <f t="shared" si="9"/>
        <v>81</v>
      </c>
      <c r="AJ95" s="56">
        <f>1/AK9+AJ94</f>
        <v>0.6328125</v>
      </c>
      <c r="AK95" s="57" t="str">
        <f>" 81/"&amp;FIXED(AK9,0,FALSE)&amp;CHAR(34)</f>
        <v xml:space="preserve"> 81/128"</v>
      </c>
      <c r="AL95" s="44"/>
    </row>
    <row r="96" spans="1:38" ht="15" x14ac:dyDescent="0.25">
      <c r="A96" s="13"/>
      <c r="B96" s="13"/>
      <c r="C96" s="13"/>
      <c r="D96" s="13"/>
      <c r="E96" s="13"/>
      <c r="F96" s="13"/>
      <c r="G96" s="13"/>
      <c r="H96" s="13"/>
      <c r="I96" s="13"/>
      <c r="J96" s="13"/>
      <c r="K96" s="13"/>
      <c r="L96" s="13"/>
      <c r="M96" s="13"/>
      <c r="N96" s="13"/>
      <c r="O96" s="13"/>
      <c r="P96" s="30"/>
      <c r="Q96" s="36"/>
      <c r="R96" s="36"/>
      <c r="S96" s="36"/>
      <c r="T96" s="36"/>
      <c r="U96" s="36"/>
      <c r="V96" s="36"/>
      <c r="W96" s="36"/>
      <c r="X96" s="36"/>
      <c r="Y96" s="36"/>
      <c r="Z96" s="36"/>
      <c r="AA96" s="36"/>
      <c r="AB96" s="36"/>
      <c r="AC96" s="36"/>
      <c r="AD96" s="36"/>
      <c r="AE96" s="36"/>
      <c r="AF96" s="36"/>
      <c r="AG96" s="36"/>
      <c r="AH96" s="36"/>
      <c r="AI96" s="55">
        <f t="shared" si="9"/>
        <v>82</v>
      </c>
      <c r="AJ96" s="56">
        <f>1/AK9+AJ95</f>
        <v>0.640625</v>
      </c>
      <c r="AK96" s="57" t="str">
        <f>" 41/"&amp;FIXED(AK9/2,0,FALSE)&amp;CHAR(34)</f>
        <v xml:space="preserve"> 41/64"</v>
      </c>
      <c r="AL96" s="44"/>
    </row>
    <row r="97" spans="1:38" ht="15" x14ac:dyDescent="0.25">
      <c r="A97" s="13"/>
      <c r="B97" s="13"/>
      <c r="C97" s="13"/>
      <c r="D97" s="13"/>
      <c r="E97" s="13"/>
      <c r="F97" s="13"/>
      <c r="G97" s="13"/>
      <c r="H97" s="13"/>
      <c r="I97" s="13"/>
      <c r="J97" s="13"/>
      <c r="K97" s="13"/>
      <c r="L97" s="13"/>
      <c r="M97" s="13"/>
      <c r="N97" s="13"/>
      <c r="O97" s="13"/>
      <c r="P97" s="30"/>
      <c r="Q97" s="36"/>
      <c r="R97" s="36"/>
      <c r="S97" s="36"/>
      <c r="T97" s="36"/>
      <c r="U97" s="36"/>
      <c r="V97" s="36"/>
      <c r="W97" s="36"/>
      <c r="X97" s="36"/>
      <c r="Y97" s="36"/>
      <c r="Z97" s="36"/>
      <c r="AA97" s="36"/>
      <c r="AB97" s="36"/>
      <c r="AC97" s="36"/>
      <c r="AD97" s="36"/>
      <c r="AE97" s="36"/>
      <c r="AF97" s="36"/>
      <c r="AG97" s="36"/>
      <c r="AH97" s="36"/>
      <c r="AI97" s="55">
        <f t="shared" si="9"/>
        <v>83</v>
      </c>
      <c r="AJ97" s="56">
        <f>1/AK9+AJ96</f>
        <v>0.6484375</v>
      </c>
      <c r="AK97" s="57" t="str">
        <f>" 83/"&amp;FIXED(AK9,0,FALSE)&amp;CHAR(34)</f>
        <v xml:space="preserve"> 83/128"</v>
      </c>
      <c r="AL97" s="44"/>
    </row>
    <row r="98" spans="1:38" ht="15" x14ac:dyDescent="0.25">
      <c r="A98" s="13"/>
      <c r="B98" s="13"/>
      <c r="C98" s="13"/>
      <c r="D98" s="13"/>
      <c r="E98" s="13"/>
      <c r="F98" s="13"/>
      <c r="G98" s="13"/>
      <c r="H98" s="13"/>
      <c r="I98" s="13"/>
      <c r="J98" s="13"/>
      <c r="K98" s="13"/>
      <c r="L98" s="13"/>
      <c r="M98" s="13"/>
      <c r="N98" s="13"/>
      <c r="O98" s="13"/>
      <c r="P98" s="30"/>
      <c r="Q98" s="36"/>
      <c r="R98" s="36"/>
      <c r="S98" s="36"/>
      <c r="T98" s="36"/>
      <c r="U98" s="36"/>
      <c r="V98" s="36"/>
      <c r="W98" s="36"/>
      <c r="X98" s="36"/>
      <c r="Y98" s="36"/>
      <c r="Z98" s="36"/>
      <c r="AA98" s="36"/>
      <c r="AB98" s="36"/>
      <c r="AC98" s="36"/>
      <c r="AD98" s="36"/>
      <c r="AE98" s="36"/>
      <c r="AF98" s="36"/>
      <c r="AG98" s="36"/>
      <c r="AH98" s="36"/>
      <c r="AI98" s="55">
        <f t="shared" si="9"/>
        <v>84</v>
      </c>
      <c r="AJ98" s="56">
        <f>1/AK9+AJ97</f>
        <v>0.65625</v>
      </c>
      <c r="AK98" s="57" t="str">
        <f>" 21/"&amp;FIXED(AK9/4,0,FALSE)&amp;CHAR(34)</f>
        <v xml:space="preserve"> 21/32"</v>
      </c>
      <c r="AL98" s="44"/>
    </row>
    <row r="99" spans="1:38" ht="15" x14ac:dyDescent="0.25">
      <c r="A99" s="13"/>
      <c r="B99" s="13"/>
      <c r="C99" s="13"/>
      <c r="D99" s="13"/>
      <c r="E99" s="13"/>
      <c r="F99" s="13"/>
      <c r="G99" s="13"/>
      <c r="H99" s="13"/>
      <c r="I99" s="13"/>
      <c r="J99" s="13"/>
      <c r="K99" s="13"/>
      <c r="L99" s="13"/>
      <c r="M99" s="13"/>
      <c r="N99" s="13"/>
      <c r="O99" s="13"/>
      <c r="P99" s="30"/>
      <c r="Q99" s="36"/>
      <c r="R99" s="36"/>
      <c r="S99" s="36"/>
      <c r="T99" s="36"/>
      <c r="U99" s="36"/>
      <c r="V99" s="36"/>
      <c r="W99" s="36"/>
      <c r="X99" s="36"/>
      <c r="Y99" s="36"/>
      <c r="Z99" s="36"/>
      <c r="AA99" s="36"/>
      <c r="AB99" s="36"/>
      <c r="AC99" s="36"/>
      <c r="AD99" s="36"/>
      <c r="AE99" s="36"/>
      <c r="AF99" s="36"/>
      <c r="AG99" s="36"/>
      <c r="AH99" s="36"/>
      <c r="AI99" s="55">
        <f t="shared" si="9"/>
        <v>85</v>
      </c>
      <c r="AJ99" s="56">
        <f>1/AK9+AJ98</f>
        <v>0.6640625</v>
      </c>
      <c r="AK99" s="57" t="str">
        <f>" 85/"&amp;FIXED(AK9,0,FALSE)&amp;CHAR(34)</f>
        <v xml:space="preserve"> 85/128"</v>
      </c>
      <c r="AL99" s="44"/>
    </row>
    <row r="100" spans="1:38" ht="15" x14ac:dyDescent="0.25">
      <c r="A100" s="13"/>
      <c r="B100" s="13"/>
      <c r="C100" s="13"/>
      <c r="D100" s="13"/>
      <c r="E100" s="13"/>
      <c r="F100" s="13"/>
      <c r="G100" s="13"/>
      <c r="H100" s="13"/>
      <c r="I100" s="13"/>
      <c r="J100" s="13"/>
      <c r="K100" s="13"/>
      <c r="L100" s="13"/>
      <c r="M100" s="13"/>
      <c r="N100" s="13"/>
      <c r="O100" s="13"/>
      <c r="P100" s="30"/>
      <c r="Q100" s="36"/>
      <c r="R100" s="36"/>
      <c r="S100" s="36"/>
      <c r="T100" s="36"/>
      <c r="U100" s="36"/>
      <c r="V100" s="36"/>
      <c r="W100" s="36"/>
      <c r="X100" s="36"/>
      <c r="Y100" s="36"/>
      <c r="Z100" s="36"/>
      <c r="AA100" s="36"/>
      <c r="AB100" s="36"/>
      <c r="AC100" s="36"/>
      <c r="AD100" s="36"/>
      <c r="AE100" s="36"/>
      <c r="AF100" s="36"/>
      <c r="AG100" s="36"/>
      <c r="AH100" s="36"/>
      <c r="AI100" s="55">
        <f t="shared" si="9"/>
        <v>86</v>
      </c>
      <c r="AJ100" s="56">
        <f>1/AK9+AJ99</f>
        <v>0.671875</v>
      </c>
      <c r="AK100" s="57" t="str">
        <f>" 43/"&amp;FIXED(AK9/2,0,FALSE)&amp;CHAR(34)</f>
        <v xml:space="preserve"> 43/64"</v>
      </c>
      <c r="AL100" s="44"/>
    </row>
    <row r="101" spans="1:38" ht="15" x14ac:dyDescent="0.25">
      <c r="A101" s="13"/>
      <c r="B101" s="13"/>
      <c r="C101" s="13"/>
      <c r="D101" s="13"/>
      <c r="E101" s="13"/>
      <c r="F101" s="13"/>
      <c r="G101" s="13"/>
      <c r="H101" s="13"/>
      <c r="I101" s="13"/>
      <c r="J101" s="13"/>
      <c r="K101" s="13"/>
      <c r="L101" s="13"/>
      <c r="M101" s="13"/>
      <c r="N101" s="13"/>
      <c r="O101" s="13"/>
      <c r="P101" s="30"/>
      <c r="Q101" s="36"/>
      <c r="R101" s="36"/>
      <c r="S101" s="36"/>
      <c r="T101" s="36"/>
      <c r="U101" s="36"/>
      <c r="V101" s="36"/>
      <c r="W101" s="36"/>
      <c r="X101" s="36"/>
      <c r="Y101" s="36"/>
      <c r="Z101" s="36"/>
      <c r="AA101" s="36"/>
      <c r="AB101" s="36"/>
      <c r="AC101" s="36"/>
      <c r="AD101" s="36"/>
      <c r="AE101" s="36"/>
      <c r="AF101" s="36"/>
      <c r="AG101" s="36"/>
      <c r="AH101" s="36"/>
      <c r="AI101" s="55">
        <f t="shared" si="9"/>
        <v>87</v>
      </c>
      <c r="AJ101" s="56">
        <f>1/AK9+AJ100</f>
        <v>0.6796875</v>
      </c>
      <c r="AK101" s="57" t="str">
        <f>" 87/"&amp;FIXED(AK9,0,FALSE)&amp;CHAR(34)</f>
        <v xml:space="preserve"> 87/128"</v>
      </c>
      <c r="AL101" s="44"/>
    </row>
    <row r="102" spans="1:38" ht="15" x14ac:dyDescent="0.25">
      <c r="A102" s="13"/>
      <c r="B102" s="13"/>
      <c r="C102" s="13"/>
      <c r="D102" s="13"/>
      <c r="E102" s="13"/>
      <c r="F102" s="13"/>
      <c r="G102" s="13"/>
      <c r="H102" s="13"/>
      <c r="I102" s="13"/>
      <c r="J102" s="13"/>
      <c r="K102" s="13"/>
      <c r="L102" s="13"/>
      <c r="M102" s="13"/>
      <c r="N102" s="13"/>
      <c r="O102" s="13"/>
      <c r="P102" s="30"/>
      <c r="Q102" s="36"/>
      <c r="R102" s="36"/>
      <c r="S102" s="36"/>
      <c r="T102" s="36"/>
      <c r="U102" s="36"/>
      <c r="V102" s="36"/>
      <c r="W102" s="36"/>
      <c r="X102" s="36"/>
      <c r="Y102" s="36"/>
      <c r="Z102" s="36"/>
      <c r="AA102" s="36"/>
      <c r="AB102" s="36"/>
      <c r="AC102" s="36"/>
      <c r="AD102" s="36"/>
      <c r="AE102" s="36"/>
      <c r="AF102" s="36"/>
      <c r="AG102" s="36"/>
      <c r="AH102" s="36"/>
      <c r="AI102" s="55">
        <f t="shared" si="9"/>
        <v>88</v>
      </c>
      <c r="AJ102" s="56">
        <f>1/AK9+AJ101</f>
        <v>0.6875</v>
      </c>
      <c r="AK102" s="57" t="str">
        <f>" 11/"&amp;FIXED(AK9/8,0,FALSE)&amp;CHAR(34)</f>
        <v xml:space="preserve"> 11/16"</v>
      </c>
      <c r="AL102" s="44"/>
    </row>
    <row r="103" spans="1:38" ht="15" x14ac:dyDescent="0.25">
      <c r="A103" s="13"/>
      <c r="B103" s="13"/>
      <c r="C103" s="13"/>
      <c r="D103" s="13"/>
      <c r="E103" s="13"/>
      <c r="F103" s="13"/>
      <c r="G103" s="13"/>
      <c r="H103" s="13"/>
      <c r="I103" s="13"/>
      <c r="J103" s="13"/>
      <c r="K103" s="13"/>
      <c r="L103" s="13"/>
      <c r="M103" s="13"/>
      <c r="N103" s="13"/>
      <c r="O103" s="13"/>
      <c r="P103" s="30"/>
      <c r="Q103" s="36"/>
      <c r="R103" s="36"/>
      <c r="S103" s="36"/>
      <c r="T103" s="36"/>
      <c r="U103" s="36"/>
      <c r="V103" s="36"/>
      <c r="W103" s="36"/>
      <c r="X103" s="36"/>
      <c r="Y103" s="36"/>
      <c r="Z103" s="36"/>
      <c r="AA103" s="36"/>
      <c r="AB103" s="36"/>
      <c r="AC103" s="36"/>
      <c r="AD103" s="36"/>
      <c r="AE103" s="36"/>
      <c r="AF103" s="36"/>
      <c r="AG103" s="36"/>
      <c r="AH103" s="36"/>
      <c r="AI103" s="55">
        <f t="shared" si="9"/>
        <v>89</v>
      </c>
      <c r="AJ103" s="56">
        <f>1/AK9+AJ102</f>
        <v>0.6953125</v>
      </c>
      <c r="AK103" s="57" t="str">
        <f>" 89/"&amp;FIXED(AK9,0,FALSE)&amp;CHAR(34)</f>
        <v xml:space="preserve"> 89/128"</v>
      </c>
      <c r="AL103" s="44"/>
    </row>
    <row r="104" spans="1:38" ht="15" x14ac:dyDescent="0.25">
      <c r="A104" s="13"/>
      <c r="B104" s="13"/>
      <c r="C104" s="13"/>
      <c r="D104" s="13"/>
      <c r="E104" s="13"/>
      <c r="F104" s="13"/>
      <c r="G104" s="13"/>
      <c r="H104" s="13"/>
      <c r="I104" s="13"/>
      <c r="J104" s="13"/>
      <c r="K104" s="13"/>
      <c r="L104" s="13"/>
      <c r="M104" s="13"/>
      <c r="N104" s="13"/>
      <c r="O104" s="13"/>
      <c r="P104" s="30"/>
      <c r="Q104" s="36"/>
      <c r="R104" s="36"/>
      <c r="S104" s="36"/>
      <c r="T104" s="36"/>
      <c r="U104" s="36"/>
      <c r="V104" s="36"/>
      <c r="W104" s="36"/>
      <c r="X104" s="36"/>
      <c r="Y104" s="36"/>
      <c r="Z104" s="36"/>
      <c r="AA104" s="36"/>
      <c r="AB104" s="36"/>
      <c r="AC104" s="36"/>
      <c r="AD104" s="36"/>
      <c r="AE104" s="36"/>
      <c r="AF104" s="36"/>
      <c r="AG104" s="36"/>
      <c r="AH104" s="36"/>
      <c r="AI104" s="55">
        <f t="shared" si="9"/>
        <v>90</v>
      </c>
      <c r="AJ104" s="56">
        <f>1/AK9+AJ103</f>
        <v>0.703125</v>
      </c>
      <c r="AK104" s="57" t="str">
        <f>" 45/"&amp;FIXED(AK9/2,0,FALSE)&amp;CHAR(34)</f>
        <v xml:space="preserve"> 45/64"</v>
      </c>
      <c r="AL104" s="44"/>
    </row>
    <row r="105" spans="1:38" ht="15" x14ac:dyDescent="0.25">
      <c r="A105" s="13"/>
      <c r="B105" s="13"/>
      <c r="C105" s="13"/>
      <c r="D105" s="13"/>
      <c r="E105" s="13"/>
      <c r="F105" s="13"/>
      <c r="G105" s="13"/>
      <c r="H105" s="13"/>
      <c r="I105" s="13"/>
      <c r="J105" s="13"/>
      <c r="K105" s="13"/>
      <c r="L105" s="13"/>
      <c r="M105" s="13"/>
      <c r="N105" s="13"/>
      <c r="O105" s="13"/>
      <c r="P105" s="30"/>
      <c r="Q105" s="36"/>
      <c r="R105" s="36"/>
      <c r="S105" s="36"/>
      <c r="T105" s="36"/>
      <c r="U105" s="36"/>
      <c r="V105" s="36"/>
      <c r="W105" s="36"/>
      <c r="X105" s="36"/>
      <c r="Y105" s="36"/>
      <c r="Z105" s="36"/>
      <c r="AA105" s="36"/>
      <c r="AB105" s="36"/>
      <c r="AC105" s="36"/>
      <c r="AD105" s="36"/>
      <c r="AE105" s="36"/>
      <c r="AF105" s="36"/>
      <c r="AG105" s="36"/>
      <c r="AH105" s="36"/>
      <c r="AI105" s="55">
        <f t="shared" si="9"/>
        <v>91</v>
      </c>
      <c r="AJ105" s="56">
        <f>1/AK9+AJ104</f>
        <v>0.7109375</v>
      </c>
      <c r="AK105" s="57" t="str">
        <f>" 91/"&amp;FIXED(AK9,0,FALSE)&amp;CHAR(34)</f>
        <v xml:space="preserve"> 91/128"</v>
      </c>
      <c r="AL105" s="44"/>
    </row>
    <row r="106" spans="1:38" ht="15" x14ac:dyDescent="0.25">
      <c r="A106" s="13"/>
      <c r="B106" s="13"/>
      <c r="C106" s="13"/>
      <c r="D106" s="13"/>
      <c r="E106" s="13"/>
      <c r="F106" s="13"/>
      <c r="G106" s="13"/>
      <c r="H106" s="13"/>
      <c r="I106" s="13"/>
      <c r="J106" s="13"/>
      <c r="K106" s="13"/>
      <c r="L106" s="13"/>
      <c r="M106" s="13"/>
      <c r="N106" s="13"/>
      <c r="O106" s="13"/>
      <c r="P106" s="30"/>
      <c r="Q106" s="36"/>
      <c r="R106" s="36"/>
      <c r="S106" s="36"/>
      <c r="T106" s="36"/>
      <c r="U106" s="36"/>
      <c r="V106" s="36"/>
      <c r="W106" s="36"/>
      <c r="X106" s="36"/>
      <c r="Y106" s="36"/>
      <c r="Z106" s="36"/>
      <c r="AA106" s="36"/>
      <c r="AB106" s="36"/>
      <c r="AC106" s="36"/>
      <c r="AD106" s="36"/>
      <c r="AE106" s="36"/>
      <c r="AF106" s="36"/>
      <c r="AG106" s="36"/>
      <c r="AH106" s="36"/>
      <c r="AI106" s="55">
        <f t="shared" si="9"/>
        <v>92</v>
      </c>
      <c r="AJ106" s="56">
        <f>1/AK9+AJ105</f>
        <v>0.71875</v>
      </c>
      <c r="AK106" s="57" t="str">
        <f>" 23/"&amp;FIXED(AK9/4,0,FALSE)&amp;CHAR(34)</f>
        <v xml:space="preserve"> 23/32"</v>
      </c>
      <c r="AL106" s="44"/>
    </row>
    <row r="107" spans="1:38" ht="15" x14ac:dyDescent="0.25">
      <c r="A107" s="13"/>
      <c r="B107" s="13"/>
      <c r="C107" s="13"/>
      <c r="D107" s="13"/>
      <c r="E107" s="13"/>
      <c r="F107" s="13"/>
      <c r="G107" s="13"/>
      <c r="H107" s="13"/>
      <c r="I107" s="13"/>
      <c r="J107" s="13"/>
      <c r="K107" s="13"/>
      <c r="L107" s="13"/>
      <c r="M107" s="13"/>
      <c r="N107" s="13"/>
      <c r="O107" s="13"/>
      <c r="P107" s="30"/>
      <c r="Q107" s="36"/>
      <c r="R107" s="36"/>
      <c r="S107" s="36"/>
      <c r="T107" s="36"/>
      <c r="U107" s="36"/>
      <c r="V107" s="36"/>
      <c r="W107" s="36"/>
      <c r="X107" s="36"/>
      <c r="Y107" s="36"/>
      <c r="Z107" s="36"/>
      <c r="AA107" s="36"/>
      <c r="AB107" s="36"/>
      <c r="AC107" s="36"/>
      <c r="AD107" s="36"/>
      <c r="AE107" s="36"/>
      <c r="AF107" s="36"/>
      <c r="AG107" s="36"/>
      <c r="AH107" s="36"/>
      <c r="AI107" s="55">
        <f t="shared" si="9"/>
        <v>93</v>
      </c>
      <c r="AJ107" s="56">
        <f>1/AK9+AJ106</f>
        <v>0.7265625</v>
      </c>
      <c r="AK107" s="57" t="str">
        <f>" 93/"&amp;FIXED(AK9,0,FALSE)&amp;CHAR(34)</f>
        <v xml:space="preserve"> 93/128"</v>
      </c>
      <c r="AL107" s="44"/>
    </row>
    <row r="108" spans="1:38" ht="15" x14ac:dyDescent="0.25">
      <c r="A108" s="13"/>
      <c r="B108" s="13"/>
      <c r="C108" s="13"/>
      <c r="D108" s="13"/>
      <c r="E108" s="13"/>
      <c r="F108" s="13"/>
      <c r="G108" s="13"/>
      <c r="H108" s="13"/>
      <c r="I108" s="13"/>
      <c r="J108" s="13"/>
      <c r="K108" s="13"/>
      <c r="L108" s="13"/>
      <c r="M108" s="13"/>
      <c r="N108" s="13"/>
      <c r="O108" s="13"/>
      <c r="P108" s="30"/>
      <c r="Q108" s="36"/>
      <c r="R108" s="36"/>
      <c r="S108" s="36"/>
      <c r="T108" s="36"/>
      <c r="U108" s="36"/>
      <c r="V108" s="36"/>
      <c r="W108" s="36"/>
      <c r="X108" s="36"/>
      <c r="Y108" s="36"/>
      <c r="Z108" s="36"/>
      <c r="AA108" s="36"/>
      <c r="AB108" s="36"/>
      <c r="AC108" s="36"/>
      <c r="AD108" s="36"/>
      <c r="AE108" s="36"/>
      <c r="AF108" s="36"/>
      <c r="AG108" s="36"/>
      <c r="AH108" s="36"/>
      <c r="AI108" s="55">
        <f t="shared" si="9"/>
        <v>94</v>
      </c>
      <c r="AJ108" s="56">
        <f>1/AK9+AJ107</f>
        <v>0.734375</v>
      </c>
      <c r="AK108" s="57" t="str">
        <f>" 47/"&amp;FIXED(AK9/2,0,FALSE)&amp;CHAR(34)</f>
        <v xml:space="preserve"> 47/64"</v>
      </c>
      <c r="AL108" s="44"/>
    </row>
    <row r="109" spans="1:38" ht="15" x14ac:dyDescent="0.25">
      <c r="A109" s="13"/>
      <c r="B109" s="13"/>
      <c r="C109" s="13"/>
      <c r="D109" s="13"/>
      <c r="E109" s="13"/>
      <c r="F109" s="13"/>
      <c r="G109" s="13"/>
      <c r="H109" s="13"/>
      <c r="I109" s="13"/>
      <c r="J109" s="13"/>
      <c r="K109" s="13"/>
      <c r="L109" s="13"/>
      <c r="M109" s="13"/>
      <c r="N109" s="13"/>
      <c r="O109" s="13"/>
      <c r="P109" s="30"/>
      <c r="Q109" s="36"/>
      <c r="R109" s="36"/>
      <c r="S109" s="36"/>
      <c r="T109" s="36"/>
      <c r="U109" s="36"/>
      <c r="V109" s="36"/>
      <c r="W109" s="36"/>
      <c r="X109" s="36"/>
      <c r="Y109" s="36"/>
      <c r="Z109" s="36"/>
      <c r="AA109" s="36"/>
      <c r="AB109" s="36"/>
      <c r="AC109" s="36"/>
      <c r="AD109" s="36"/>
      <c r="AE109" s="36"/>
      <c r="AF109" s="36"/>
      <c r="AG109" s="36"/>
      <c r="AH109" s="36"/>
      <c r="AI109" s="55">
        <f t="shared" si="9"/>
        <v>95</v>
      </c>
      <c r="AJ109" s="56">
        <f>1/AK9+AJ108</f>
        <v>0.7421875</v>
      </c>
      <c r="AK109" s="57" t="str">
        <f>" 95/"&amp;FIXED(AK9,0,FALSE)&amp;CHAR(34)</f>
        <v xml:space="preserve"> 95/128"</v>
      </c>
      <c r="AL109" s="44"/>
    </row>
    <row r="110" spans="1:38" ht="15" x14ac:dyDescent="0.25">
      <c r="A110" s="36"/>
      <c r="B110" s="36"/>
      <c r="C110" s="36"/>
      <c r="D110" s="36"/>
      <c r="E110" s="36"/>
      <c r="F110" s="36"/>
      <c r="G110" s="36"/>
      <c r="H110" s="36"/>
      <c r="I110" s="36"/>
      <c r="J110" s="36"/>
      <c r="K110" s="36"/>
      <c r="L110" s="36"/>
      <c r="M110" s="36"/>
      <c r="N110" s="36"/>
      <c r="O110" s="36"/>
      <c r="P110" s="30"/>
      <c r="Q110" s="36"/>
      <c r="R110" s="36"/>
      <c r="S110" s="36"/>
      <c r="T110" s="36"/>
      <c r="U110" s="36"/>
      <c r="V110" s="36"/>
      <c r="W110" s="36"/>
      <c r="X110" s="36"/>
      <c r="Y110" s="36"/>
      <c r="Z110" s="36"/>
      <c r="AA110" s="36"/>
      <c r="AB110" s="36"/>
      <c r="AC110" s="36"/>
      <c r="AD110" s="36"/>
      <c r="AE110" s="36"/>
      <c r="AF110" s="36"/>
      <c r="AG110" s="36"/>
      <c r="AH110" s="36"/>
      <c r="AI110" s="68">
        <f t="shared" si="9"/>
        <v>96</v>
      </c>
      <c r="AJ110" s="69">
        <f>1/AK9+AJ109</f>
        <v>0.75</v>
      </c>
      <c r="AK110" s="70" t="str">
        <f>" 3/"&amp;FIXED(AK9/32,0,FALSE)&amp;CHAR(34)</f>
        <v xml:space="preserve"> 3/4"</v>
      </c>
      <c r="AL110" s="44"/>
    </row>
    <row r="111" spans="1:38" ht="15" x14ac:dyDescent="0.25">
      <c r="A111" s="36"/>
      <c r="B111" s="36"/>
      <c r="C111" s="36"/>
      <c r="D111" s="36"/>
      <c r="E111" s="36"/>
      <c r="F111" s="36"/>
      <c r="G111" s="36"/>
      <c r="H111" s="36"/>
      <c r="I111" s="36"/>
      <c r="J111" s="36"/>
      <c r="K111" s="36"/>
      <c r="L111" s="36"/>
      <c r="M111" s="36"/>
      <c r="N111" s="36"/>
      <c r="O111" s="36"/>
      <c r="P111" s="30"/>
      <c r="Q111" s="36"/>
      <c r="R111" s="36"/>
      <c r="S111" s="36"/>
      <c r="T111" s="36"/>
      <c r="U111" s="36"/>
      <c r="V111" s="36"/>
      <c r="W111" s="36"/>
      <c r="X111" s="36"/>
      <c r="Y111" s="36"/>
      <c r="Z111" s="36"/>
      <c r="AA111" s="36"/>
      <c r="AB111" s="36"/>
      <c r="AC111" s="36"/>
      <c r="AD111" s="36"/>
      <c r="AE111" s="36"/>
      <c r="AF111" s="36"/>
      <c r="AG111" s="36"/>
      <c r="AH111" s="36"/>
      <c r="AI111" s="55">
        <f t="shared" ref="AI111:AI142" si="10">1+AI110</f>
        <v>97</v>
      </c>
      <c r="AJ111" s="56">
        <f>1/AK9+AJ110</f>
        <v>0.7578125</v>
      </c>
      <c r="AK111" s="57" t="str">
        <f>" 97/"&amp;FIXED(AK9,0,FALSE)&amp;CHAR(34)</f>
        <v xml:space="preserve"> 97/128"</v>
      </c>
      <c r="AL111" s="44"/>
    </row>
    <row r="112" spans="1:38" ht="15" x14ac:dyDescent="0.25">
      <c r="A112" s="36"/>
      <c r="B112" s="36"/>
      <c r="C112" s="36"/>
      <c r="D112" s="36"/>
      <c r="E112" s="36"/>
      <c r="F112" s="36"/>
      <c r="G112" s="36"/>
      <c r="H112" s="36"/>
      <c r="I112" s="36"/>
      <c r="J112" s="36"/>
      <c r="K112" s="36"/>
      <c r="L112" s="36"/>
      <c r="M112" s="36"/>
      <c r="N112" s="36"/>
      <c r="O112" s="36"/>
      <c r="P112" s="30"/>
      <c r="Q112" s="36"/>
      <c r="R112" s="36"/>
      <c r="S112" s="36"/>
      <c r="T112" s="36"/>
      <c r="U112" s="36"/>
      <c r="V112" s="36"/>
      <c r="W112" s="36"/>
      <c r="X112" s="36"/>
      <c r="Y112" s="36"/>
      <c r="Z112" s="36"/>
      <c r="AA112" s="36"/>
      <c r="AB112" s="36"/>
      <c r="AC112" s="36"/>
      <c r="AD112" s="36"/>
      <c r="AE112" s="36"/>
      <c r="AF112" s="36"/>
      <c r="AG112" s="36"/>
      <c r="AH112" s="36"/>
      <c r="AI112" s="55">
        <f t="shared" si="10"/>
        <v>98</v>
      </c>
      <c r="AJ112" s="56">
        <f>1/AK9+AJ111</f>
        <v>0.765625</v>
      </c>
      <c r="AK112" s="57" t="str">
        <f>" 49/"&amp;FIXED(AK9/2,0,FALSE)&amp;CHAR(34)</f>
        <v xml:space="preserve"> 49/64"</v>
      </c>
      <c r="AL112" s="44"/>
    </row>
    <row r="113" spans="1:38" ht="15" x14ac:dyDescent="0.25">
      <c r="A113" s="36"/>
      <c r="B113" s="36"/>
      <c r="C113" s="36"/>
      <c r="D113" s="36"/>
      <c r="E113" s="36"/>
      <c r="F113" s="36"/>
      <c r="G113" s="36"/>
      <c r="H113" s="36"/>
      <c r="I113" s="36"/>
      <c r="J113" s="36"/>
      <c r="K113" s="36"/>
      <c r="L113" s="36"/>
      <c r="M113" s="36"/>
      <c r="N113" s="36"/>
      <c r="O113" s="36"/>
      <c r="P113" s="30"/>
      <c r="Q113" s="36"/>
      <c r="R113" s="36"/>
      <c r="S113" s="36"/>
      <c r="T113" s="36"/>
      <c r="U113" s="36"/>
      <c r="V113" s="36"/>
      <c r="W113" s="36"/>
      <c r="X113" s="36"/>
      <c r="Y113" s="36"/>
      <c r="Z113" s="36"/>
      <c r="AA113" s="36"/>
      <c r="AB113" s="36"/>
      <c r="AC113" s="36"/>
      <c r="AD113" s="36"/>
      <c r="AE113" s="36"/>
      <c r="AF113" s="36"/>
      <c r="AG113" s="36"/>
      <c r="AH113" s="36"/>
      <c r="AI113" s="55">
        <f t="shared" si="10"/>
        <v>99</v>
      </c>
      <c r="AJ113" s="56">
        <f>1/AK9+AJ112</f>
        <v>0.7734375</v>
      </c>
      <c r="AK113" s="57" t="str">
        <f>" 99/"&amp;FIXED(AK9,0,FALSE)&amp;CHAR(34)</f>
        <v xml:space="preserve"> 99/128"</v>
      </c>
      <c r="AL113" s="44"/>
    </row>
    <row r="114" spans="1:38" ht="15" x14ac:dyDescent="0.25">
      <c r="A114" s="36"/>
      <c r="B114" s="36"/>
      <c r="C114" s="36"/>
      <c r="D114" s="36"/>
      <c r="E114" s="36"/>
      <c r="F114" s="36"/>
      <c r="G114" s="36"/>
      <c r="H114" s="36"/>
      <c r="I114" s="36"/>
      <c r="J114" s="36"/>
      <c r="K114" s="36"/>
      <c r="L114" s="36"/>
      <c r="M114" s="36"/>
      <c r="N114" s="36"/>
      <c r="O114" s="36"/>
      <c r="P114" s="30"/>
      <c r="Q114" s="36"/>
      <c r="R114" s="36"/>
      <c r="S114" s="36"/>
      <c r="T114" s="36"/>
      <c r="U114" s="36"/>
      <c r="V114" s="36"/>
      <c r="W114" s="36"/>
      <c r="X114" s="36"/>
      <c r="Y114" s="36"/>
      <c r="Z114" s="36"/>
      <c r="AA114" s="36"/>
      <c r="AB114" s="36"/>
      <c r="AC114" s="36"/>
      <c r="AD114" s="36"/>
      <c r="AE114" s="36"/>
      <c r="AF114" s="36"/>
      <c r="AG114" s="36"/>
      <c r="AH114" s="36"/>
      <c r="AI114" s="55">
        <f t="shared" si="10"/>
        <v>100</v>
      </c>
      <c r="AJ114" s="56">
        <f>1/AK9+AJ113</f>
        <v>0.78125</v>
      </c>
      <c r="AK114" s="57" t="str">
        <f>" 25/"&amp;FIXED(AK9/4,0,FALSE)&amp;CHAR(34)</f>
        <v xml:space="preserve"> 25/32"</v>
      </c>
      <c r="AL114" s="44"/>
    </row>
    <row r="115" spans="1:38" ht="15" x14ac:dyDescent="0.25">
      <c r="A115" s="36"/>
      <c r="B115" s="36"/>
      <c r="C115" s="36"/>
      <c r="D115" s="36"/>
      <c r="E115" s="36"/>
      <c r="F115" s="36"/>
      <c r="G115" s="36"/>
      <c r="H115" s="36"/>
      <c r="I115" s="36"/>
      <c r="J115" s="36"/>
      <c r="K115" s="36"/>
      <c r="L115" s="36"/>
      <c r="M115" s="36"/>
      <c r="N115" s="36"/>
      <c r="O115" s="36"/>
      <c r="P115" s="30"/>
      <c r="Q115" s="36"/>
      <c r="R115" s="36"/>
      <c r="S115" s="36"/>
      <c r="T115" s="36"/>
      <c r="U115" s="36"/>
      <c r="V115" s="36"/>
      <c r="W115" s="36"/>
      <c r="X115" s="36"/>
      <c r="Y115" s="36"/>
      <c r="Z115" s="36"/>
      <c r="AA115" s="36"/>
      <c r="AB115" s="36"/>
      <c r="AC115" s="36"/>
      <c r="AD115" s="36"/>
      <c r="AE115" s="36"/>
      <c r="AF115" s="36"/>
      <c r="AG115" s="36"/>
      <c r="AH115" s="36"/>
      <c r="AI115" s="55">
        <f t="shared" si="10"/>
        <v>101</v>
      </c>
      <c r="AJ115" s="56">
        <f>1/AK9+AJ114</f>
        <v>0.7890625</v>
      </c>
      <c r="AK115" s="57" t="str">
        <f>" 101/"&amp;FIXED(AK9,0,FALSE)&amp;CHAR(34)</f>
        <v xml:space="preserve"> 101/128"</v>
      </c>
      <c r="AL115" s="44"/>
    </row>
    <row r="116" spans="1:38" ht="15" x14ac:dyDescent="0.25">
      <c r="A116" s="36"/>
      <c r="B116" s="36"/>
      <c r="C116" s="36"/>
      <c r="D116" s="36"/>
      <c r="E116" s="36"/>
      <c r="F116" s="36"/>
      <c r="G116" s="36"/>
      <c r="H116" s="36"/>
      <c r="I116" s="36"/>
      <c r="J116" s="36"/>
      <c r="K116" s="36"/>
      <c r="L116" s="36"/>
      <c r="M116" s="36"/>
      <c r="N116" s="36"/>
      <c r="O116" s="36"/>
      <c r="P116" s="30"/>
      <c r="Q116" s="36"/>
      <c r="R116" s="36"/>
      <c r="S116" s="36"/>
      <c r="T116" s="36"/>
      <c r="U116" s="36"/>
      <c r="V116" s="36"/>
      <c r="W116" s="36"/>
      <c r="X116" s="36"/>
      <c r="Y116" s="36"/>
      <c r="Z116" s="36"/>
      <c r="AA116" s="36"/>
      <c r="AB116" s="36"/>
      <c r="AC116" s="36"/>
      <c r="AD116" s="36"/>
      <c r="AE116" s="36"/>
      <c r="AF116" s="36"/>
      <c r="AG116" s="36"/>
      <c r="AH116" s="36"/>
      <c r="AI116" s="55">
        <f t="shared" si="10"/>
        <v>102</v>
      </c>
      <c r="AJ116" s="56">
        <f>1/AK9+AJ115</f>
        <v>0.796875</v>
      </c>
      <c r="AK116" s="57" t="str">
        <f>" 51/"&amp;FIXED(AK9/2,0,FALSE)&amp;CHAR(34)</f>
        <v xml:space="preserve"> 51/64"</v>
      </c>
      <c r="AL116" s="44"/>
    </row>
    <row r="117" spans="1:38" ht="15" x14ac:dyDescent="0.25">
      <c r="A117" s="36"/>
      <c r="B117" s="36"/>
      <c r="C117" s="36"/>
      <c r="D117" s="36"/>
      <c r="E117" s="36"/>
      <c r="F117" s="36"/>
      <c r="G117" s="36"/>
      <c r="H117" s="36"/>
      <c r="I117" s="36"/>
      <c r="J117" s="36"/>
      <c r="K117" s="36"/>
      <c r="L117" s="36"/>
      <c r="M117" s="36"/>
      <c r="N117" s="36"/>
      <c r="O117" s="36"/>
      <c r="P117" s="30"/>
      <c r="Q117" s="36"/>
      <c r="R117" s="36"/>
      <c r="S117" s="36"/>
      <c r="T117" s="36"/>
      <c r="U117" s="36"/>
      <c r="V117" s="36"/>
      <c r="W117" s="36"/>
      <c r="X117" s="36"/>
      <c r="Y117" s="36"/>
      <c r="Z117" s="36"/>
      <c r="AA117" s="36"/>
      <c r="AB117" s="36"/>
      <c r="AC117" s="36"/>
      <c r="AD117" s="36"/>
      <c r="AE117" s="36"/>
      <c r="AF117" s="36"/>
      <c r="AG117" s="36"/>
      <c r="AH117" s="36"/>
      <c r="AI117" s="55">
        <f t="shared" si="10"/>
        <v>103</v>
      </c>
      <c r="AJ117" s="56">
        <f>1/AK9+AJ116</f>
        <v>0.8046875</v>
      </c>
      <c r="AK117" s="57" t="str">
        <f>" 103/"&amp;FIXED(AK9,0,FALSE)&amp;CHAR(34)</f>
        <v xml:space="preserve"> 103/128"</v>
      </c>
      <c r="AL117" s="44"/>
    </row>
    <row r="118" spans="1:38" ht="15" x14ac:dyDescent="0.25">
      <c r="A118" s="36"/>
      <c r="B118" s="36"/>
      <c r="C118" s="36"/>
      <c r="D118" s="36"/>
      <c r="E118" s="36"/>
      <c r="F118" s="36"/>
      <c r="G118" s="36"/>
      <c r="H118" s="36"/>
      <c r="I118" s="36"/>
      <c r="J118" s="36"/>
      <c r="K118" s="36"/>
      <c r="L118" s="36"/>
      <c r="M118" s="36"/>
      <c r="N118" s="36"/>
      <c r="O118" s="36"/>
      <c r="P118" s="30"/>
      <c r="Q118" s="36"/>
      <c r="R118" s="36"/>
      <c r="S118" s="36"/>
      <c r="T118" s="36"/>
      <c r="U118" s="36"/>
      <c r="V118" s="36"/>
      <c r="W118" s="36"/>
      <c r="X118" s="36"/>
      <c r="Y118" s="36"/>
      <c r="Z118" s="36"/>
      <c r="AA118" s="36"/>
      <c r="AB118" s="36"/>
      <c r="AC118" s="36"/>
      <c r="AD118" s="36"/>
      <c r="AE118" s="36"/>
      <c r="AF118" s="36"/>
      <c r="AG118" s="36"/>
      <c r="AH118" s="36"/>
      <c r="AI118" s="55">
        <f t="shared" si="10"/>
        <v>104</v>
      </c>
      <c r="AJ118" s="56">
        <f>1/AK9+AJ117</f>
        <v>0.8125</v>
      </c>
      <c r="AK118" s="57" t="str">
        <f>" 13/"&amp;FIXED(AK9/8,0,FALSE)&amp;CHAR(34)</f>
        <v xml:space="preserve"> 13/16"</v>
      </c>
      <c r="AL118" s="44"/>
    </row>
    <row r="119" spans="1:38" ht="15" x14ac:dyDescent="0.25">
      <c r="A119" s="36"/>
      <c r="B119" s="36"/>
      <c r="C119" s="36"/>
      <c r="D119" s="36"/>
      <c r="E119" s="36"/>
      <c r="F119" s="36"/>
      <c r="G119" s="36"/>
      <c r="H119" s="36"/>
      <c r="I119" s="36"/>
      <c r="J119" s="36"/>
      <c r="K119" s="36"/>
      <c r="L119" s="36"/>
      <c r="M119" s="36"/>
      <c r="N119" s="36"/>
      <c r="O119" s="36"/>
      <c r="P119" s="30"/>
      <c r="Q119" s="36"/>
      <c r="R119" s="36"/>
      <c r="S119" s="36"/>
      <c r="T119" s="36"/>
      <c r="U119" s="36"/>
      <c r="V119" s="36"/>
      <c r="W119" s="36"/>
      <c r="X119" s="36"/>
      <c r="Y119" s="36"/>
      <c r="Z119" s="36"/>
      <c r="AA119" s="36"/>
      <c r="AB119" s="36"/>
      <c r="AC119" s="36"/>
      <c r="AD119" s="36"/>
      <c r="AE119" s="36"/>
      <c r="AF119" s="36"/>
      <c r="AG119" s="36"/>
      <c r="AH119" s="36"/>
      <c r="AI119" s="55">
        <f t="shared" si="10"/>
        <v>105</v>
      </c>
      <c r="AJ119" s="56">
        <f>1/AK9+AJ118</f>
        <v>0.8203125</v>
      </c>
      <c r="AK119" s="57" t="str">
        <f>" 105/"&amp;FIXED(AK9,0,FALSE)&amp;CHAR(34)</f>
        <v xml:space="preserve"> 105/128"</v>
      </c>
      <c r="AL119" s="44"/>
    </row>
    <row r="120" spans="1:38" ht="15" x14ac:dyDescent="0.25">
      <c r="A120" s="36"/>
      <c r="B120" s="36"/>
      <c r="C120" s="36"/>
      <c r="D120" s="36"/>
      <c r="E120" s="36"/>
      <c r="F120" s="36"/>
      <c r="G120" s="36"/>
      <c r="H120" s="36"/>
      <c r="I120" s="36"/>
      <c r="J120" s="36"/>
      <c r="K120" s="36"/>
      <c r="L120" s="36"/>
      <c r="M120" s="36"/>
      <c r="N120" s="36"/>
      <c r="O120" s="36"/>
      <c r="P120" s="30"/>
      <c r="Q120" s="36"/>
      <c r="R120" s="36"/>
      <c r="S120" s="36"/>
      <c r="T120" s="36"/>
      <c r="U120" s="36"/>
      <c r="V120" s="36"/>
      <c r="W120" s="36"/>
      <c r="X120" s="36"/>
      <c r="Y120" s="36"/>
      <c r="Z120" s="36"/>
      <c r="AA120" s="36"/>
      <c r="AB120" s="36"/>
      <c r="AC120" s="36"/>
      <c r="AD120" s="36"/>
      <c r="AE120" s="36"/>
      <c r="AF120" s="36"/>
      <c r="AG120" s="36"/>
      <c r="AH120" s="36"/>
      <c r="AI120" s="55">
        <f t="shared" si="10"/>
        <v>106</v>
      </c>
      <c r="AJ120" s="56">
        <f>1/AK9+AJ119</f>
        <v>0.828125</v>
      </c>
      <c r="AK120" s="57" t="str">
        <f>" 53/"&amp;FIXED(AK9/2,0,FALSE)&amp;CHAR(34)</f>
        <v xml:space="preserve"> 53/64"</v>
      </c>
      <c r="AL120" s="44"/>
    </row>
    <row r="121" spans="1:38" ht="15" x14ac:dyDescent="0.25">
      <c r="A121" s="36"/>
      <c r="B121" s="36"/>
      <c r="C121" s="36"/>
      <c r="D121" s="36"/>
      <c r="E121" s="36"/>
      <c r="F121" s="36"/>
      <c r="G121" s="36"/>
      <c r="H121" s="36"/>
      <c r="I121" s="36"/>
      <c r="J121" s="36"/>
      <c r="K121" s="36"/>
      <c r="L121" s="36"/>
      <c r="M121" s="36"/>
      <c r="N121" s="36"/>
      <c r="O121" s="36"/>
      <c r="P121" s="30"/>
      <c r="Q121" s="36"/>
      <c r="R121" s="36"/>
      <c r="S121" s="36"/>
      <c r="T121" s="36"/>
      <c r="U121" s="36"/>
      <c r="V121" s="36"/>
      <c r="W121" s="36"/>
      <c r="X121" s="36"/>
      <c r="Y121" s="36"/>
      <c r="Z121" s="36"/>
      <c r="AA121" s="36"/>
      <c r="AB121" s="36"/>
      <c r="AC121" s="36"/>
      <c r="AD121" s="36"/>
      <c r="AE121" s="36"/>
      <c r="AF121" s="36"/>
      <c r="AG121" s="36"/>
      <c r="AH121" s="36"/>
      <c r="AI121" s="55">
        <f t="shared" si="10"/>
        <v>107</v>
      </c>
      <c r="AJ121" s="56">
        <f>1/AK9+AJ120</f>
        <v>0.8359375</v>
      </c>
      <c r="AK121" s="57" t="str">
        <f>" 107/"&amp;FIXED(AK9,0,FALSE)&amp;CHAR(34)</f>
        <v xml:space="preserve"> 107/128"</v>
      </c>
      <c r="AL121" s="44"/>
    </row>
    <row r="122" spans="1:38" ht="15" x14ac:dyDescent="0.25">
      <c r="A122" s="36"/>
      <c r="B122" s="36"/>
      <c r="C122" s="36"/>
      <c r="D122" s="36"/>
      <c r="E122" s="36"/>
      <c r="F122" s="36"/>
      <c r="G122" s="36"/>
      <c r="H122" s="36"/>
      <c r="I122" s="36"/>
      <c r="J122" s="36"/>
      <c r="K122" s="36"/>
      <c r="L122" s="36"/>
      <c r="M122" s="36"/>
      <c r="N122" s="36"/>
      <c r="O122" s="36"/>
      <c r="P122" s="30"/>
      <c r="Q122" s="36"/>
      <c r="R122" s="36"/>
      <c r="S122" s="36"/>
      <c r="T122" s="36"/>
      <c r="U122" s="36"/>
      <c r="V122" s="36"/>
      <c r="W122" s="36"/>
      <c r="X122" s="36"/>
      <c r="Y122" s="36"/>
      <c r="Z122" s="36"/>
      <c r="AA122" s="36"/>
      <c r="AB122" s="36"/>
      <c r="AC122" s="36"/>
      <c r="AD122" s="36"/>
      <c r="AE122" s="36"/>
      <c r="AF122" s="36"/>
      <c r="AG122" s="36"/>
      <c r="AH122" s="36"/>
      <c r="AI122" s="55">
        <f t="shared" si="10"/>
        <v>108</v>
      </c>
      <c r="AJ122" s="56">
        <f>1/AK9+AJ121</f>
        <v>0.84375</v>
      </c>
      <c r="AK122" s="57" t="str">
        <f>" 27/"&amp;FIXED(AK9/4,0,FALSE)&amp;CHAR(34)</f>
        <v xml:space="preserve"> 27/32"</v>
      </c>
      <c r="AL122" s="44"/>
    </row>
    <row r="123" spans="1:38" ht="15" x14ac:dyDescent="0.25">
      <c r="A123" s="36"/>
      <c r="B123" s="36"/>
      <c r="C123" s="36"/>
      <c r="D123" s="36"/>
      <c r="E123" s="36"/>
      <c r="F123" s="36"/>
      <c r="G123" s="36"/>
      <c r="H123" s="36"/>
      <c r="I123" s="36"/>
      <c r="J123" s="36"/>
      <c r="K123" s="36"/>
      <c r="L123" s="36"/>
      <c r="M123" s="36"/>
      <c r="N123" s="36"/>
      <c r="O123" s="36"/>
      <c r="P123" s="30"/>
      <c r="Q123" s="36"/>
      <c r="R123" s="36"/>
      <c r="S123" s="36"/>
      <c r="T123" s="36"/>
      <c r="U123" s="36"/>
      <c r="V123" s="36"/>
      <c r="W123" s="36"/>
      <c r="X123" s="36"/>
      <c r="Y123" s="36"/>
      <c r="Z123" s="36"/>
      <c r="AA123" s="36"/>
      <c r="AB123" s="36"/>
      <c r="AC123" s="36"/>
      <c r="AD123" s="36"/>
      <c r="AE123" s="36"/>
      <c r="AF123" s="36"/>
      <c r="AG123" s="36"/>
      <c r="AH123" s="36"/>
      <c r="AI123" s="55">
        <f t="shared" si="10"/>
        <v>109</v>
      </c>
      <c r="AJ123" s="56">
        <f>1/AK9+AJ122</f>
        <v>0.8515625</v>
      </c>
      <c r="AK123" s="57" t="str">
        <f>" 109/"&amp;FIXED(AK9,0,FALSE)&amp;CHAR(34)</f>
        <v xml:space="preserve"> 109/128"</v>
      </c>
      <c r="AL123" s="44"/>
    </row>
    <row r="124" spans="1:38" ht="15" x14ac:dyDescent="0.25">
      <c r="A124" s="36"/>
      <c r="B124" s="36"/>
      <c r="C124" s="36"/>
      <c r="D124" s="36"/>
      <c r="E124" s="36"/>
      <c r="F124" s="36"/>
      <c r="G124" s="36"/>
      <c r="H124" s="36"/>
      <c r="I124" s="36"/>
      <c r="J124" s="36"/>
      <c r="K124" s="36"/>
      <c r="L124" s="36"/>
      <c r="M124" s="36"/>
      <c r="N124" s="36"/>
      <c r="O124" s="36"/>
      <c r="P124" s="30"/>
      <c r="Q124" s="36"/>
      <c r="R124" s="36"/>
      <c r="S124" s="36"/>
      <c r="T124" s="36"/>
      <c r="U124" s="36"/>
      <c r="V124" s="36"/>
      <c r="W124" s="36"/>
      <c r="X124" s="36"/>
      <c r="Y124" s="36"/>
      <c r="Z124" s="36"/>
      <c r="AA124" s="36"/>
      <c r="AB124" s="36"/>
      <c r="AC124" s="36"/>
      <c r="AD124" s="36"/>
      <c r="AE124" s="36"/>
      <c r="AF124" s="36"/>
      <c r="AG124" s="36"/>
      <c r="AH124" s="36"/>
      <c r="AI124" s="55">
        <f t="shared" si="10"/>
        <v>110</v>
      </c>
      <c r="AJ124" s="56">
        <f>1/AK9+AJ123</f>
        <v>0.859375</v>
      </c>
      <c r="AK124" s="57" t="str">
        <f>" 55/"&amp;FIXED(AK9/2,0,FALSE)&amp;CHAR(34)</f>
        <v xml:space="preserve"> 55/64"</v>
      </c>
      <c r="AL124" s="44"/>
    </row>
    <row r="125" spans="1:38" ht="15" x14ac:dyDescent="0.25">
      <c r="A125" s="36"/>
      <c r="B125" s="36"/>
      <c r="C125" s="36"/>
      <c r="D125" s="36"/>
      <c r="E125" s="36"/>
      <c r="F125" s="36"/>
      <c r="G125" s="36"/>
      <c r="H125" s="36"/>
      <c r="I125" s="36"/>
      <c r="J125" s="36"/>
      <c r="K125" s="36"/>
      <c r="L125" s="36"/>
      <c r="M125" s="36"/>
      <c r="N125" s="36"/>
      <c r="O125" s="36"/>
      <c r="P125" s="30"/>
      <c r="Q125" s="36"/>
      <c r="R125" s="36"/>
      <c r="S125" s="36"/>
      <c r="T125" s="36"/>
      <c r="U125" s="36"/>
      <c r="V125" s="36"/>
      <c r="W125" s="36"/>
      <c r="X125" s="36"/>
      <c r="Y125" s="36"/>
      <c r="Z125" s="36"/>
      <c r="AA125" s="36"/>
      <c r="AB125" s="36"/>
      <c r="AC125" s="36"/>
      <c r="AD125" s="36"/>
      <c r="AE125" s="36"/>
      <c r="AF125" s="36"/>
      <c r="AG125" s="36"/>
      <c r="AH125" s="36"/>
      <c r="AI125" s="55">
        <f t="shared" si="10"/>
        <v>111</v>
      </c>
      <c r="AJ125" s="56">
        <f>1/AK9+AJ124</f>
        <v>0.8671875</v>
      </c>
      <c r="AK125" s="57" t="str">
        <f>" 111/"&amp;FIXED(AK9,0,FALSE)&amp;CHAR(34)</f>
        <v xml:space="preserve"> 111/128"</v>
      </c>
      <c r="AL125" s="44"/>
    </row>
    <row r="126" spans="1:38" ht="15" x14ac:dyDescent="0.25">
      <c r="A126" s="36"/>
      <c r="B126" s="36"/>
      <c r="C126" s="36"/>
      <c r="D126" s="36"/>
      <c r="E126" s="36"/>
      <c r="F126" s="36"/>
      <c r="G126" s="36"/>
      <c r="H126" s="36"/>
      <c r="I126" s="36"/>
      <c r="J126" s="36"/>
      <c r="K126" s="36"/>
      <c r="L126" s="36"/>
      <c r="M126" s="36"/>
      <c r="N126" s="36"/>
      <c r="O126" s="36"/>
      <c r="P126" s="30"/>
      <c r="Q126" s="36"/>
      <c r="R126" s="36"/>
      <c r="S126" s="36"/>
      <c r="T126" s="36"/>
      <c r="U126" s="36"/>
      <c r="V126" s="36"/>
      <c r="W126" s="36"/>
      <c r="X126" s="36"/>
      <c r="Y126" s="36"/>
      <c r="Z126" s="36"/>
      <c r="AA126" s="36"/>
      <c r="AB126" s="36"/>
      <c r="AC126" s="36"/>
      <c r="AD126" s="36"/>
      <c r="AE126" s="36"/>
      <c r="AF126" s="36"/>
      <c r="AG126" s="36"/>
      <c r="AH126" s="36"/>
      <c r="AI126" s="55">
        <f t="shared" si="10"/>
        <v>112</v>
      </c>
      <c r="AJ126" s="56">
        <f>1/AK9+AJ125</f>
        <v>0.875</v>
      </c>
      <c r="AK126" s="57" t="str">
        <f>" 7/"&amp;FIXED(AK9/16,0,FALSE)&amp;CHAR(34)</f>
        <v xml:space="preserve"> 7/8"</v>
      </c>
      <c r="AL126" s="44"/>
    </row>
    <row r="127" spans="1:38" ht="15" x14ac:dyDescent="0.25">
      <c r="A127" s="36"/>
      <c r="B127" s="36"/>
      <c r="C127" s="36"/>
      <c r="D127" s="36"/>
      <c r="E127" s="36"/>
      <c r="F127" s="36"/>
      <c r="G127" s="36"/>
      <c r="H127" s="36"/>
      <c r="I127" s="36"/>
      <c r="J127" s="36"/>
      <c r="K127" s="36"/>
      <c r="L127" s="36"/>
      <c r="M127" s="36"/>
      <c r="N127" s="36"/>
      <c r="O127" s="36"/>
      <c r="P127" s="30"/>
      <c r="Q127" s="36"/>
      <c r="R127" s="36"/>
      <c r="S127" s="36"/>
      <c r="T127" s="36"/>
      <c r="U127" s="36"/>
      <c r="V127" s="36"/>
      <c r="W127" s="36"/>
      <c r="X127" s="36"/>
      <c r="Y127" s="36"/>
      <c r="Z127" s="36"/>
      <c r="AA127" s="36"/>
      <c r="AB127" s="36"/>
      <c r="AC127" s="36"/>
      <c r="AD127" s="36"/>
      <c r="AE127" s="36"/>
      <c r="AF127" s="36"/>
      <c r="AG127" s="36"/>
      <c r="AH127" s="36"/>
      <c r="AI127" s="55">
        <f t="shared" si="10"/>
        <v>113</v>
      </c>
      <c r="AJ127" s="56">
        <f>1/AK9+AJ126</f>
        <v>0.8828125</v>
      </c>
      <c r="AK127" s="57" t="str">
        <f>" 113/"&amp;FIXED(AK9,0,FALSE)&amp;CHAR(34)</f>
        <v xml:space="preserve"> 113/128"</v>
      </c>
      <c r="AL127" s="44"/>
    </row>
    <row r="128" spans="1:38" ht="15" x14ac:dyDescent="0.25">
      <c r="A128" s="36"/>
      <c r="B128" s="36"/>
      <c r="C128" s="36"/>
      <c r="D128" s="36"/>
      <c r="E128" s="36"/>
      <c r="F128" s="36"/>
      <c r="G128" s="36"/>
      <c r="H128" s="36"/>
      <c r="I128" s="36"/>
      <c r="J128" s="36"/>
      <c r="K128" s="36"/>
      <c r="L128" s="36"/>
      <c r="M128" s="36"/>
      <c r="N128" s="36"/>
      <c r="O128" s="36"/>
      <c r="P128" s="30"/>
      <c r="Q128" s="36"/>
      <c r="R128" s="36"/>
      <c r="S128" s="36"/>
      <c r="T128" s="36"/>
      <c r="U128" s="36"/>
      <c r="V128" s="36"/>
      <c r="W128" s="36"/>
      <c r="X128" s="36"/>
      <c r="Y128" s="36"/>
      <c r="Z128" s="36"/>
      <c r="AA128" s="36"/>
      <c r="AB128" s="36"/>
      <c r="AC128" s="36"/>
      <c r="AD128" s="36"/>
      <c r="AE128" s="36"/>
      <c r="AF128" s="36"/>
      <c r="AG128" s="36"/>
      <c r="AH128" s="36"/>
      <c r="AI128" s="55">
        <f t="shared" si="10"/>
        <v>114</v>
      </c>
      <c r="AJ128" s="56">
        <f>1/AK9+AJ127</f>
        <v>0.890625</v>
      </c>
      <c r="AK128" s="57" t="str">
        <f>" 57/"&amp;FIXED(AK9/2,0,FALSE)&amp;CHAR(34)</f>
        <v xml:space="preserve"> 57/64"</v>
      </c>
      <c r="AL128" s="44"/>
    </row>
    <row r="129" spans="1:38" ht="15" x14ac:dyDescent="0.25">
      <c r="A129" s="36"/>
      <c r="B129" s="36"/>
      <c r="C129" s="36"/>
      <c r="D129" s="36"/>
      <c r="E129" s="36"/>
      <c r="F129" s="36"/>
      <c r="G129" s="36"/>
      <c r="H129" s="36"/>
      <c r="I129" s="36"/>
      <c r="J129" s="36"/>
      <c r="K129" s="36"/>
      <c r="L129" s="36"/>
      <c r="M129" s="36"/>
      <c r="N129" s="36"/>
      <c r="O129" s="36"/>
      <c r="P129" s="30"/>
      <c r="Q129" s="36"/>
      <c r="R129" s="36"/>
      <c r="S129" s="36"/>
      <c r="T129" s="36"/>
      <c r="U129" s="36"/>
      <c r="V129" s="36"/>
      <c r="W129" s="36"/>
      <c r="X129" s="36"/>
      <c r="Y129" s="36"/>
      <c r="Z129" s="36"/>
      <c r="AA129" s="36"/>
      <c r="AB129" s="36"/>
      <c r="AC129" s="36"/>
      <c r="AD129" s="36"/>
      <c r="AE129" s="36"/>
      <c r="AF129" s="36"/>
      <c r="AG129" s="36"/>
      <c r="AH129" s="36"/>
      <c r="AI129" s="55">
        <f t="shared" si="10"/>
        <v>115</v>
      </c>
      <c r="AJ129" s="56">
        <f>1/AK9+AJ128</f>
        <v>0.8984375</v>
      </c>
      <c r="AK129" s="57" t="str">
        <f>" 115/"&amp;FIXED(AK9,0,FALSE)&amp;CHAR(34)</f>
        <v xml:space="preserve"> 115/128"</v>
      </c>
      <c r="AL129" s="44"/>
    </row>
    <row r="130" spans="1:38" ht="15" x14ac:dyDescent="0.25">
      <c r="A130" s="36"/>
      <c r="B130" s="36"/>
      <c r="C130" s="36"/>
      <c r="D130" s="36"/>
      <c r="E130" s="36"/>
      <c r="F130" s="36"/>
      <c r="G130" s="36"/>
      <c r="H130" s="36"/>
      <c r="I130" s="36"/>
      <c r="J130" s="36"/>
      <c r="K130" s="36"/>
      <c r="L130" s="36"/>
      <c r="M130" s="36"/>
      <c r="N130" s="36"/>
      <c r="O130" s="36"/>
      <c r="P130" s="30"/>
      <c r="Q130" s="36"/>
      <c r="R130" s="36"/>
      <c r="S130" s="36"/>
      <c r="T130" s="36"/>
      <c r="U130" s="36"/>
      <c r="V130" s="36"/>
      <c r="W130" s="36"/>
      <c r="X130" s="36"/>
      <c r="Y130" s="36"/>
      <c r="Z130" s="36"/>
      <c r="AA130" s="36"/>
      <c r="AB130" s="36"/>
      <c r="AC130" s="36"/>
      <c r="AD130" s="36"/>
      <c r="AE130" s="36"/>
      <c r="AF130" s="36"/>
      <c r="AG130" s="36"/>
      <c r="AH130" s="36"/>
      <c r="AI130" s="55">
        <f t="shared" si="10"/>
        <v>116</v>
      </c>
      <c r="AJ130" s="56">
        <f>1/AK9+AJ129</f>
        <v>0.90625</v>
      </c>
      <c r="AK130" s="57" t="str">
        <f>" 29/"&amp;FIXED(AK9/4,0,FALSE)&amp;CHAR(34)</f>
        <v xml:space="preserve"> 29/32"</v>
      </c>
      <c r="AL130" s="44"/>
    </row>
    <row r="131" spans="1:38" ht="15" x14ac:dyDescent="0.25">
      <c r="A131" s="36"/>
      <c r="B131" s="36"/>
      <c r="C131" s="36"/>
      <c r="D131" s="36"/>
      <c r="E131" s="36"/>
      <c r="F131" s="36"/>
      <c r="G131" s="36"/>
      <c r="H131" s="36"/>
      <c r="I131" s="36"/>
      <c r="J131" s="36"/>
      <c r="K131" s="36"/>
      <c r="L131" s="36"/>
      <c r="M131" s="36"/>
      <c r="N131" s="36"/>
      <c r="O131" s="36"/>
      <c r="P131" s="30"/>
      <c r="Q131" s="36"/>
      <c r="R131" s="36"/>
      <c r="S131" s="36"/>
      <c r="T131" s="36"/>
      <c r="U131" s="36"/>
      <c r="V131" s="36"/>
      <c r="W131" s="36"/>
      <c r="X131" s="36"/>
      <c r="Y131" s="36"/>
      <c r="Z131" s="36"/>
      <c r="AA131" s="36"/>
      <c r="AB131" s="36"/>
      <c r="AC131" s="36"/>
      <c r="AD131" s="36"/>
      <c r="AE131" s="36"/>
      <c r="AF131" s="36"/>
      <c r="AG131" s="36"/>
      <c r="AH131" s="36"/>
      <c r="AI131" s="55">
        <f t="shared" si="10"/>
        <v>117</v>
      </c>
      <c r="AJ131" s="56">
        <f>1/AK9+AJ130</f>
        <v>0.9140625</v>
      </c>
      <c r="AK131" s="57" t="str">
        <f>" 117/"&amp;FIXED(AK9,0,FALSE)&amp;CHAR(34)</f>
        <v xml:space="preserve"> 117/128"</v>
      </c>
      <c r="AL131" s="44"/>
    </row>
    <row r="132" spans="1:38" ht="15" x14ac:dyDescent="0.25">
      <c r="A132" s="36"/>
      <c r="B132" s="36"/>
      <c r="C132" s="36"/>
      <c r="D132" s="36"/>
      <c r="E132" s="36"/>
      <c r="F132" s="36"/>
      <c r="G132" s="36"/>
      <c r="H132" s="36"/>
      <c r="I132" s="36"/>
      <c r="J132" s="36"/>
      <c r="K132" s="36"/>
      <c r="L132" s="36"/>
      <c r="M132" s="36"/>
      <c r="N132" s="36"/>
      <c r="O132" s="36"/>
      <c r="P132" s="30"/>
      <c r="Q132" s="36"/>
      <c r="R132" s="36"/>
      <c r="S132" s="36"/>
      <c r="T132" s="36"/>
      <c r="U132" s="36"/>
      <c r="V132" s="36"/>
      <c r="W132" s="36"/>
      <c r="X132" s="36"/>
      <c r="Y132" s="36"/>
      <c r="Z132" s="36"/>
      <c r="AA132" s="36"/>
      <c r="AB132" s="36"/>
      <c r="AC132" s="36"/>
      <c r="AD132" s="36"/>
      <c r="AE132" s="36"/>
      <c r="AF132" s="36"/>
      <c r="AG132" s="36"/>
      <c r="AH132" s="36"/>
      <c r="AI132" s="55">
        <f t="shared" si="10"/>
        <v>118</v>
      </c>
      <c r="AJ132" s="56">
        <f>1/AK9+AJ131</f>
        <v>0.921875</v>
      </c>
      <c r="AK132" s="57" t="str">
        <f>" 59/"&amp;FIXED(AK9/2,0,FALSE)&amp;CHAR(34)</f>
        <v xml:space="preserve"> 59/64"</v>
      </c>
      <c r="AL132" s="44"/>
    </row>
    <row r="133" spans="1:38" ht="15" x14ac:dyDescent="0.25">
      <c r="A133" s="36"/>
      <c r="B133" s="36"/>
      <c r="C133" s="36"/>
      <c r="D133" s="36"/>
      <c r="E133" s="36"/>
      <c r="F133" s="36"/>
      <c r="G133" s="36"/>
      <c r="H133" s="36"/>
      <c r="I133" s="36"/>
      <c r="J133" s="36"/>
      <c r="K133" s="36"/>
      <c r="L133" s="36"/>
      <c r="M133" s="36"/>
      <c r="N133" s="36"/>
      <c r="O133" s="36"/>
      <c r="P133" s="30"/>
      <c r="Q133" s="36"/>
      <c r="R133" s="36"/>
      <c r="S133" s="36"/>
      <c r="T133" s="36"/>
      <c r="U133" s="36"/>
      <c r="V133" s="36"/>
      <c r="W133" s="36"/>
      <c r="X133" s="36"/>
      <c r="Y133" s="36"/>
      <c r="Z133" s="36"/>
      <c r="AA133" s="36"/>
      <c r="AB133" s="36"/>
      <c r="AC133" s="36"/>
      <c r="AD133" s="36"/>
      <c r="AE133" s="36"/>
      <c r="AF133" s="36"/>
      <c r="AG133" s="36"/>
      <c r="AH133" s="36"/>
      <c r="AI133" s="55">
        <f t="shared" si="10"/>
        <v>119</v>
      </c>
      <c r="AJ133" s="56">
        <f>1/AK9+AJ132</f>
        <v>0.9296875</v>
      </c>
      <c r="AK133" s="57" t="str">
        <f>" 119/"&amp;FIXED(AK9,0,FALSE)&amp;CHAR(34)</f>
        <v xml:space="preserve"> 119/128"</v>
      </c>
      <c r="AL133" s="44"/>
    </row>
    <row r="134" spans="1:38" ht="15" x14ac:dyDescent="0.25">
      <c r="A134" s="36"/>
      <c r="B134" s="36"/>
      <c r="C134" s="36"/>
      <c r="D134" s="36"/>
      <c r="E134" s="36"/>
      <c r="F134" s="36"/>
      <c r="G134" s="36"/>
      <c r="H134" s="36"/>
      <c r="I134" s="36"/>
      <c r="J134" s="36"/>
      <c r="K134" s="36"/>
      <c r="L134" s="36"/>
      <c r="M134" s="36"/>
      <c r="N134" s="36"/>
      <c r="O134" s="36"/>
      <c r="P134" s="30"/>
      <c r="Q134" s="36"/>
      <c r="R134" s="36"/>
      <c r="S134" s="36"/>
      <c r="T134" s="36"/>
      <c r="U134" s="36"/>
      <c r="V134" s="36"/>
      <c r="W134" s="36"/>
      <c r="X134" s="36"/>
      <c r="Y134" s="36"/>
      <c r="Z134" s="36"/>
      <c r="AA134" s="36"/>
      <c r="AB134" s="36"/>
      <c r="AC134" s="36"/>
      <c r="AD134" s="36"/>
      <c r="AE134" s="36"/>
      <c r="AF134" s="36"/>
      <c r="AG134" s="36"/>
      <c r="AH134" s="36"/>
      <c r="AI134" s="55">
        <f t="shared" si="10"/>
        <v>120</v>
      </c>
      <c r="AJ134" s="56">
        <f>1/AK9+AJ133</f>
        <v>0.9375</v>
      </c>
      <c r="AK134" s="57" t="str">
        <f>" 15/"&amp;FIXED(AK9/8,0,FALSE)&amp;CHAR(34)</f>
        <v xml:space="preserve"> 15/16"</v>
      </c>
      <c r="AL134" s="44"/>
    </row>
    <row r="135" spans="1:38" ht="15" x14ac:dyDescent="0.25">
      <c r="A135" s="36"/>
      <c r="B135" s="36"/>
      <c r="C135" s="36"/>
      <c r="D135" s="36"/>
      <c r="E135" s="36"/>
      <c r="F135" s="36"/>
      <c r="G135" s="36"/>
      <c r="H135" s="36"/>
      <c r="I135" s="36"/>
      <c r="J135" s="36"/>
      <c r="K135" s="36"/>
      <c r="L135" s="36"/>
      <c r="M135" s="36"/>
      <c r="N135" s="36"/>
      <c r="O135" s="36"/>
      <c r="P135" s="30"/>
      <c r="Q135" s="36"/>
      <c r="R135" s="36"/>
      <c r="S135" s="36"/>
      <c r="T135" s="36"/>
      <c r="U135" s="36"/>
      <c r="V135" s="36"/>
      <c r="W135" s="36"/>
      <c r="X135" s="36"/>
      <c r="Y135" s="36"/>
      <c r="Z135" s="36"/>
      <c r="AA135" s="36"/>
      <c r="AB135" s="36"/>
      <c r="AC135" s="36"/>
      <c r="AD135" s="36"/>
      <c r="AE135" s="36"/>
      <c r="AF135" s="36"/>
      <c r="AG135" s="36"/>
      <c r="AH135" s="36"/>
      <c r="AI135" s="55">
        <f t="shared" si="10"/>
        <v>121</v>
      </c>
      <c r="AJ135" s="56">
        <f>1/AK9+AJ134</f>
        <v>0.9453125</v>
      </c>
      <c r="AK135" s="57" t="str">
        <f>" 121/"&amp;FIXED(AK9,0,FALSE)&amp;CHAR(34)</f>
        <v xml:space="preserve"> 121/128"</v>
      </c>
      <c r="AL135" s="44"/>
    </row>
    <row r="136" spans="1:38" ht="15" x14ac:dyDescent="0.25">
      <c r="A136" s="36"/>
      <c r="B136" s="36"/>
      <c r="C136" s="36"/>
      <c r="D136" s="36"/>
      <c r="E136" s="36"/>
      <c r="F136" s="36"/>
      <c r="G136" s="36"/>
      <c r="H136" s="36"/>
      <c r="I136" s="36"/>
      <c r="J136" s="36"/>
      <c r="K136" s="36"/>
      <c r="L136" s="36"/>
      <c r="M136" s="36"/>
      <c r="N136" s="36"/>
      <c r="O136" s="36"/>
      <c r="P136" s="30"/>
      <c r="Q136" s="36"/>
      <c r="R136" s="36"/>
      <c r="S136" s="36"/>
      <c r="T136" s="36"/>
      <c r="U136" s="36"/>
      <c r="V136" s="36"/>
      <c r="W136" s="36"/>
      <c r="X136" s="36"/>
      <c r="Y136" s="36"/>
      <c r="Z136" s="36"/>
      <c r="AA136" s="36"/>
      <c r="AB136" s="36"/>
      <c r="AC136" s="36"/>
      <c r="AD136" s="36"/>
      <c r="AE136" s="36"/>
      <c r="AF136" s="36"/>
      <c r="AG136" s="36"/>
      <c r="AH136" s="36"/>
      <c r="AI136" s="55">
        <f t="shared" si="10"/>
        <v>122</v>
      </c>
      <c r="AJ136" s="56">
        <f>1/AK9+AJ135</f>
        <v>0.953125</v>
      </c>
      <c r="AK136" s="57" t="str">
        <f>" 61/"&amp;FIXED(AK9/2,0,FALSE)&amp;CHAR(34)</f>
        <v xml:space="preserve"> 61/64"</v>
      </c>
      <c r="AL136" s="44"/>
    </row>
    <row r="137" spans="1:38" ht="15" x14ac:dyDescent="0.25">
      <c r="A137" s="36"/>
      <c r="B137" s="36"/>
      <c r="C137" s="36"/>
      <c r="D137" s="36"/>
      <c r="E137" s="36"/>
      <c r="F137" s="36"/>
      <c r="G137" s="36"/>
      <c r="H137" s="36"/>
      <c r="I137" s="36"/>
      <c r="J137" s="36"/>
      <c r="K137" s="36"/>
      <c r="L137" s="36"/>
      <c r="M137" s="36"/>
      <c r="N137" s="36"/>
      <c r="O137" s="36"/>
      <c r="P137" s="30"/>
      <c r="Q137" s="36"/>
      <c r="R137" s="36"/>
      <c r="S137" s="36"/>
      <c r="T137" s="36"/>
      <c r="U137" s="36"/>
      <c r="V137" s="36"/>
      <c r="W137" s="36"/>
      <c r="X137" s="36"/>
      <c r="Y137" s="36"/>
      <c r="Z137" s="36"/>
      <c r="AA137" s="36"/>
      <c r="AB137" s="36"/>
      <c r="AC137" s="36"/>
      <c r="AD137" s="36"/>
      <c r="AE137" s="36"/>
      <c r="AF137" s="36"/>
      <c r="AG137" s="36"/>
      <c r="AH137" s="36"/>
      <c r="AI137" s="55">
        <f t="shared" si="10"/>
        <v>123</v>
      </c>
      <c r="AJ137" s="56">
        <f>1/AK9+AJ136</f>
        <v>0.9609375</v>
      </c>
      <c r="AK137" s="57" t="str">
        <f>" 123/"&amp;FIXED(AK9,0,FALSE)&amp;CHAR(34)</f>
        <v xml:space="preserve"> 123/128"</v>
      </c>
      <c r="AL137" s="44"/>
    </row>
    <row r="138" spans="1:38" ht="15" x14ac:dyDescent="0.25">
      <c r="A138" s="36"/>
      <c r="B138" s="36"/>
      <c r="C138" s="36"/>
      <c r="D138" s="36"/>
      <c r="E138" s="36"/>
      <c r="F138" s="36"/>
      <c r="G138" s="36"/>
      <c r="H138" s="36"/>
      <c r="I138" s="36"/>
      <c r="J138" s="36"/>
      <c r="K138" s="36"/>
      <c r="L138" s="36"/>
      <c r="M138" s="36"/>
      <c r="N138" s="36"/>
      <c r="O138" s="36"/>
      <c r="P138" s="30"/>
      <c r="Q138" s="36"/>
      <c r="R138" s="36"/>
      <c r="S138" s="36"/>
      <c r="T138" s="36"/>
      <c r="U138" s="36"/>
      <c r="V138" s="36"/>
      <c r="W138" s="36"/>
      <c r="X138" s="36"/>
      <c r="Y138" s="36"/>
      <c r="Z138" s="36"/>
      <c r="AA138" s="36"/>
      <c r="AB138" s="36"/>
      <c r="AC138" s="36"/>
      <c r="AD138" s="36"/>
      <c r="AE138" s="36"/>
      <c r="AF138" s="36"/>
      <c r="AG138" s="36"/>
      <c r="AH138" s="36"/>
      <c r="AI138" s="55">
        <f t="shared" si="10"/>
        <v>124</v>
      </c>
      <c r="AJ138" s="56">
        <f>1/AK9+AJ137</f>
        <v>0.96875</v>
      </c>
      <c r="AK138" s="57" t="str">
        <f>" 31/"&amp;FIXED(AK9/4,0,FALSE)&amp;CHAR(34)</f>
        <v xml:space="preserve"> 31/32"</v>
      </c>
      <c r="AL138" s="44"/>
    </row>
    <row r="139" spans="1:38" ht="15" x14ac:dyDescent="0.25">
      <c r="A139" s="36"/>
      <c r="B139" s="36"/>
      <c r="C139" s="36"/>
      <c r="D139" s="36"/>
      <c r="E139" s="36"/>
      <c r="F139" s="36"/>
      <c r="G139" s="36"/>
      <c r="H139" s="36"/>
      <c r="I139" s="36"/>
      <c r="J139" s="36"/>
      <c r="K139" s="36"/>
      <c r="L139" s="36"/>
      <c r="M139" s="36"/>
      <c r="N139" s="36"/>
      <c r="O139" s="36"/>
      <c r="P139" s="30"/>
      <c r="Q139" s="36"/>
      <c r="R139" s="36"/>
      <c r="S139" s="36"/>
      <c r="T139" s="36"/>
      <c r="U139" s="36"/>
      <c r="V139" s="36"/>
      <c r="W139" s="36"/>
      <c r="X139" s="36"/>
      <c r="Y139" s="36"/>
      <c r="Z139" s="36"/>
      <c r="AA139" s="36"/>
      <c r="AB139" s="36"/>
      <c r="AC139" s="36"/>
      <c r="AD139" s="36"/>
      <c r="AE139" s="36"/>
      <c r="AF139" s="36"/>
      <c r="AG139" s="36"/>
      <c r="AH139" s="36"/>
      <c r="AI139" s="55">
        <f t="shared" si="10"/>
        <v>125</v>
      </c>
      <c r="AJ139" s="56">
        <f>1/AK9+AJ138</f>
        <v>0.9765625</v>
      </c>
      <c r="AK139" s="57" t="str">
        <f>" 125/"&amp;FIXED(AK9,0,FALSE)&amp;CHAR(34)</f>
        <v xml:space="preserve"> 125/128"</v>
      </c>
      <c r="AL139" s="44"/>
    </row>
    <row r="140" spans="1:38" ht="15" x14ac:dyDescent="0.25">
      <c r="A140" s="36"/>
      <c r="B140" s="36"/>
      <c r="C140" s="36"/>
      <c r="D140" s="36"/>
      <c r="E140" s="36"/>
      <c r="F140" s="36"/>
      <c r="G140" s="36"/>
      <c r="H140" s="36"/>
      <c r="I140" s="36"/>
      <c r="J140" s="36"/>
      <c r="K140" s="36"/>
      <c r="L140" s="36"/>
      <c r="M140" s="36"/>
      <c r="N140" s="36"/>
      <c r="O140" s="36"/>
      <c r="P140" s="30"/>
      <c r="Q140" s="36"/>
      <c r="R140" s="36"/>
      <c r="S140" s="36"/>
      <c r="T140" s="36"/>
      <c r="U140" s="36"/>
      <c r="V140" s="36"/>
      <c r="W140" s="36"/>
      <c r="X140" s="36"/>
      <c r="Y140" s="36"/>
      <c r="Z140" s="36"/>
      <c r="AA140" s="36"/>
      <c r="AB140" s="36"/>
      <c r="AC140" s="36"/>
      <c r="AD140" s="36"/>
      <c r="AE140" s="36"/>
      <c r="AF140" s="36"/>
      <c r="AG140" s="36"/>
      <c r="AH140" s="36"/>
      <c r="AI140" s="55">
        <f t="shared" si="10"/>
        <v>126</v>
      </c>
      <c r="AJ140" s="56">
        <f>1/AK9+AJ139</f>
        <v>0.984375</v>
      </c>
      <c r="AK140" s="57" t="str">
        <f>" 63/"&amp;FIXED(AK9/2,0,FALSE)&amp;CHAR(34)</f>
        <v xml:space="preserve"> 63/64"</v>
      </c>
      <c r="AL140" s="44"/>
    </row>
    <row r="141" spans="1:38" ht="15" x14ac:dyDescent="0.25">
      <c r="A141" s="36"/>
      <c r="B141" s="36"/>
      <c r="C141" s="36"/>
      <c r="D141" s="36"/>
      <c r="E141" s="36"/>
      <c r="F141" s="36"/>
      <c r="G141" s="36"/>
      <c r="H141" s="36"/>
      <c r="I141" s="36"/>
      <c r="J141" s="36"/>
      <c r="K141" s="36"/>
      <c r="L141" s="36"/>
      <c r="M141" s="36"/>
      <c r="N141" s="36"/>
      <c r="O141" s="36"/>
      <c r="P141" s="30"/>
      <c r="Q141" s="36"/>
      <c r="R141" s="36"/>
      <c r="S141" s="36"/>
      <c r="T141" s="36"/>
      <c r="U141" s="36"/>
      <c r="V141" s="36"/>
      <c r="W141" s="36"/>
      <c r="X141" s="36"/>
      <c r="Y141" s="36"/>
      <c r="Z141" s="36"/>
      <c r="AA141" s="36"/>
      <c r="AB141" s="36"/>
      <c r="AC141" s="36"/>
      <c r="AD141" s="36"/>
      <c r="AE141" s="36"/>
      <c r="AF141" s="36"/>
      <c r="AG141" s="36"/>
      <c r="AH141" s="36"/>
      <c r="AI141" s="55">
        <f t="shared" si="10"/>
        <v>127</v>
      </c>
      <c r="AJ141" s="56">
        <f>1/AK9+AJ140</f>
        <v>0.9921875</v>
      </c>
      <c r="AK141" s="57" t="str">
        <f>" 127/"&amp;FIXED(AK9,0,FALSE)&amp;CHAR(34)</f>
        <v xml:space="preserve"> 127/128"</v>
      </c>
      <c r="AL141" s="44"/>
    </row>
    <row r="142" spans="1:38" ht="15" x14ac:dyDescent="0.25">
      <c r="A142" s="36"/>
      <c r="B142" s="36"/>
      <c r="C142" s="36"/>
      <c r="D142" s="36"/>
      <c r="E142" s="36"/>
      <c r="F142" s="36"/>
      <c r="G142" s="36"/>
      <c r="H142" s="36"/>
      <c r="I142" s="36"/>
      <c r="J142" s="36"/>
      <c r="K142" s="36"/>
      <c r="L142" s="36"/>
      <c r="M142" s="36"/>
      <c r="N142" s="36"/>
      <c r="O142" s="36"/>
      <c r="P142" s="30"/>
      <c r="Q142" s="36"/>
      <c r="R142" s="36"/>
      <c r="S142" s="36"/>
      <c r="T142" s="36"/>
      <c r="U142" s="36"/>
      <c r="V142" s="36"/>
      <c r="W142" s="36"/>
      <c r="X142" s="36"/>
      <c r="Y142" s="36"/>
      <c r="Z142" s="36"/>
      <c r="AA142" s="36"/>
      <c r="AB142" s="36"/>
      <c r="AC142" s="36"/>
      <c r="AD142" s="36"/>
      <c r="AE142" s="36"/>
      <c r="AF142" s="36"/>
      <c r="AG142" s="36"/>
      <c r="AH142" s="36"/>
      <c r="AI142" s="68">
        <f t="shared" si="10"/>
        <v>128</v>
      </c>
      <c r="AJ142" s="69">
        <f>1/AK9+AJ141</f>
        <v>1</v>
      </c>
      <c r="AK142" s="81" t="str">
        <f>CHAR(34)</f>
        <v>"</v>
      </c>
      <c r="AL142" s="44"/>
    </row>
    <row r="143" spans="1:38" ht="15" x14ac:dyDescent="0.25">
      <c r="A143" s="36"/>
      <c r="B143" s="36"/>
      <c r="C143" s="36"/>
      <c r="D143" s="36"/>
      <c r="E143" s="36"/>
      <c r="F143" s="36"/>
      <c r="G143" s="36"/>
      <c r="H143" s="36"/>
      <c r="I143" s="36"/>
      <c r="J143" s="36"/>
      <c r="K143" s="36"/>
      <c r="L143" s="36"/>
      <c r="M143" s="36"/>
      <c r="N143" s="36"/>
      <c r="O143" s="36"/>
      <c r="P143" s="30"/>
      <c r="Q143" s="36"/>
      <c r="R143" s="36"/>
      <c r="S143" s="36"/>
      <c r="T143" s="36"/>
      <c r="U143" s="36"/>
      <c r="V143" s="36"/>
      <c r="W143" s="36"/>
      <c r="X143" s="36"/>
      <c r="Y143" s="36"/>
      <c r="Z143" s="36"/>
      <c r="AA143" s="36"/>
      <c r="AB143" s="36"/>
      <c r="AC143" s="36"/>
      <c r="AD143" s="36"/>
      <c r="AE143" s="36"/>
      <c r="AF143" s="36"/>
      <c r="AG143" s="36"/>
      <c r="AH143" s="36"/>
      <c r="AI143" s="82"/>
      <c r="AJ143" s="82"/>
      <c r="AK143" s="82"/>
      <c r="AL143" s="44"/>
    </row>
    <row r="144" spans="1:38" ht="15" x14ac:dyDescent="0.25">
      <c r="A144" s="36"/>
      <c r="B144" s="36"/>
      <c r="C144" s="36"/>
      <c r="D144" s="36"/>
      <c r="E144" s="36"/>
      <c r="F144" s="36"/>
      <c r="G144" s="36"/>
      <c r="H144" s="36"/>
      <c r="I144" s="36"/>
      <c r="J144" s="36"/>
      <c r="K144" s="36"/>
      <c r="L144" s="36"/>
      <c r="M144" s="36"/>
      <c r="N144" s="36"/>
      <c r="O144" s="36"/>
      <c r="P144" s="30"/>
      <c r="Q144" s="36"/>
      <c r="R144" s="36"/>
      <c r="S144" s="36"/>
      <c r="T144" s="36"/>
      <c r="U144" s="36"/>
      <c r="V144" s="36"/>
      <c r="W144" s="36"/>
      <c r="X144" s="36"/>
      <c r="Y144" s="36"/>
      <c r="Z144" s="36"/>
      <c r="AA144" s="36"/>
      <c r="AB144" s="36"/>
      <c r="AC144" s="36"/>
      <c r="AD144" s="36"/>
      <c r="AE144" s="36"/>
      <c r="AF144" s="36"/>
      <c r="AG144" s="36"/>
      <c r="AH144" s="36"/>
      <c r="AI144" s="82"/>
      <c r="AJ144" s="82"/>
      <c r="AK144" s="82"/>
      <c r="AL144" s="45"/>
    </row>
    <row r="145" spans="1:38" ht="15" x14ac:dyDescent="0.25">
      <c r="A145" s="36"/>
      <c r="B145" s="36"/>
      <c r="C145" s="36"/>
      <c r="D145" s="36"/>
      <c r="E145" s="36"/>
      <c r="F145" s="36"/>
      <c r="G145" s="36"/>
      <c r="H145" s="36"/>
      <c r="I145" s="36"/>
      <c r="J145" s="36"/>
      <c r="K145" s="36"/>
      <c r="L145" s="36"/>
      <c r="M145" s="36"/>
      <c r="N145" s="36"/>
      <c r="O145" s="36"/>
      <c r="P145" s="30"/>
      <c r="Q145" s="36"/>
      <c r="R145" s="36"/>
      <c r="S145" s="36"/>
      <c r="T145" s="36"/>
      <c r="U145" s="36"/>
      <c r="V145" s="36"/>
      <c r="W145" s="36"/>
      <c r="X145" s="36"/>
      <c r="Y145" s="36"/>
      <c r="Z145" s="36"/>
      <c r="AA145" s="36"/>
      <c r="AB145" s="36"/>
      <c r="AC145" s="36"/>
      <c r="AD145" s="36"/>
      <c r="AE145" s="36"/>
      <c r="AF145" s="36"/>
      <c r="AG145" s="36"/>
      <c r="AH145" s="36"/>
      <c r="AI145" s="82"/>
      <c r="AJ145" s="82"/>
      <c r="AK145" s="82"/>
      <c r="AL145" s="44"/>
    </row>
    <row r="146" spans="1:38" ht="15" x14ac:dyDescent="0.25">
      <c r="A146" s="36"/>
      <c r="B146" s="36"/>
      <c r="C146" s="36"/>
      <c r="D146" s="36"/>
      <c r="E146" s="36"/>
      <c r="F146" s="36"/>
      <c r="G146" s="36"/>
      <c r="H146" s="36"/>
      <c r="I146" s="36"/>
      <c r="J146" s="36"/>
      <c r="K146" s="36"/>
      <c r="L146" s="36"/>
      <c r="M146" s="36"/>
      <c r="N146" s="36"/>
      <c r="O146" s="36"/>
      <c r="P146" s="30"/>
      <c r="Q146" s="36"/>
      <c r="R146" s="36"/>
      <c r="S146" s="36"/>
      <c r="T146" s="36"/>
      <c r="U146" s="36"/>
      <c r="V146" s="36"/>
      <c r="W146" s="36"/>
      <c r="X146" s="36"/>
      <c r="Y146" s="36"/>
      <c r="Z146" s="36"/>
      <c r="AA146" s="36"/>
      <c r="AB146" s="36"/>
      <c r="AC146" s="36"/>
      <c r="AD146" s="36"/>
      <c r="AE146" s="36"/>
      <c r="AF146" s="36"/>
      <c r="AG146" s="36"/>
      <c r="AH146" s="36"/>
      <c r="AI146" s="82"/>
      <c r="AJ146" s="82"/>
      <c r="AK146" s="82"/>
      <c r="AL146" s="82"/>
    </row>
    <row r="147" spans="1:38" ht="15" x14ac:dyDescent="0.25">
      <c r="A147" s="36"/>
      <c r="B147" s="36"/>
      <c r="C147" s="36"/>
      <c r="D147" s="36"/>
      <c r="E147" s="36"/>
      <c r="F147" s="36"/>
      <c r="G147" s="36"/>
      <c r="H147" s="36"/>
      <c r="I147" s="36"/>
      <c r="J147" s="36"/>
      <c r="K147" s="36"/>
      <c r="L147" s="36"/>
      <c r="M147" s="36"/>
      <c r="N147" s="36"/>
      <c r="O147" s="36"/>
      <c r="P147" s="30"/>
      <c r="Q147" s="36"/>
      <c r="R147" s="36"/>
      <c r="S147" s="36"/>
      <c r="T147" s="36"/>
      <c r="U147" s="36"/>
      <c r="V147" s="36"/>
      <c r="W147" s="36"/>
      <c r="X147" s="36"/>
      <c r="Y147" s="36"/>
      <c r="Z147" s="36"/>
      <c r="AA147" s="36"/>
      <c r="AB147" s="36"/>
      <c r="AC147" s="36"/>
      <c r="AD147" s="36"/>
      <c r="AE147" s="36"/>
      <c r="AF147" s="36"/>
      <c r="AG147" s="36"/>
      <c r="AH147" s="36"/>
      <c r="AI147" s="82"/>
      <c r="AJ147" s="82"/>
      <c r="AK147" s="82"/>
      <c r="AL147" s="82"/>
    </row>
    <row r="148" spans="1:38" ht="15" x14ac:dyDescent="0.25">
      <c r="AD148" s="36"/>
      <c r="AE148" s="36"/>
      <c r="AF148" s="36"/>
      <c r="AG148" s="36"/>
      <c r="AH148" s="36"/>
      <c r="AI148" s="82"/>
      <c r="AJ148" s="82"/>
      <c r="AK148" s="82"/>
      <c r="AL148" s="82"/>
    </row>
    <row r="149" spans="1:38" x14ac:dyDescent="0.2">
      <c r="AI149" s="6"/>
      <c r="AJ149" s="6"/>
      <c r="AK149" s="6"/>
      <c r="AL149" s="6"/>
    </row>
    <row r="150" spans="1:38" x14ac:dyDescent="0.2">
      <c r="AI150" s="6"/>
      <c r="AJ150" s="6"/>
      <c r="AK150" s="6"/>
      <c r="AL150" s="6"/>
    </row>
    <row r="151" spans="1:38" x14ac:dyDescent="0.2">
      <c r="AI151" s="6"/>
      <c r="AJ151" s="6"/>
      <c r="AK151" s="6"/>
      <c r="AL151" s="6"/>
    </row>
    <row r="152" spans="1:38" x14ac:dyDescent="0.2">
      <c r="AI152" s="6"/>
      <c r="AJ152" s="6"/>
      <c r="AK152" s="6"/>
      <c r="AL152" s="6"/>
    </row>
    <row r="153" spans="1:38" x14ac:dyDescent="0.2">
      <c r="AI153" s="6"/>
      <c r="AJ153" s="6"/>
      <c r="AK153" s="6"/>
      <c r="AL153" s="6"/>
    </row>
    <row r="154" spans="1:38" x14ac:dyDescent="0.2">
      <c r="AI154" s="6"/>
      <c r="AJ154" s="6"/>
      <c r="AK154" s="6"/>
      <c r="AL154" s="6"/>
    </row>
    <row r="155" spans="1:38" x14ac:dyDescent="0.2">
      <c r="AI155" s="6"/>
      <c r="AJ155" s="6"/>
      <c r="AK155" s="6"/>
      <c r="AL155" s="6"/>
    </row>
    <row r="156" spans="1:38" x14ac:dyDescent="0.2">
      <c r="AI156" s="6"/>
      <c r="AJ156" s="6"/>
      <c r="AK156" s="6"/>
      <c r="AL156" s="6"/>
    </row>
    <row r="157" spans="1:38" x14ac:dyDescent="0.2">
      <c r="AI157" s="6"/>
      <c r="AJ157" s="6"/>
      <c r="AK157" s="6"/>
      <c r="AL157" s="6"/>
    </row>
    <row r="158" spans="1:38" x14ac:dyDescent="0.2">
      <c r="AI158" s="6"/>
      <c r="AJ158" s="6"/>
      <c r="AK158" s="6"/>
      <c r="AL158" s="6"/>
    </row>
    <row r="159" spans="1:38" x14ac:dyDescent="0.2">
      <c r="AI159" s="6"/>
      <c r="AJ159" s="6"/>
      <c r="AK159" s="6"/>
      <c r="AL159" s="6"/>
    </row>
    <row r="160" spans="1:38" x14ac:dyDescent="0.2">
      <c r="AI160" s="6"/>
      <c r="AJ160" s="6"/>
      <c r="AK160" s="6"/>
      <c r="AL160" s="6"/>
    </row>
    <row r="161" spans="35:38" x14ac:dyDescent="0.2">
      <c r="AI161" s="6"/>
      <c r="AJ161" s="6"/>
      <c r="AK161" s="6"/>
      <c r="AL161" s="6"/>
    </row>
    <row r="162" spans="35:38" x14ac:dyDescent="0.2">
      <c r="AI162" s="6"/>
      <c r="AJ162" s="6"/>
      <c r="AK162" s="6"/>
      <c r="AL162" s="6"/>
    </row>
    <row r="163" spans="35:38" x14ac:dyDescent="0.2">
      <c r="AI163" s="6"/>
      <c r="AJ163" s="6"/>
      <c r="AK163" s="6"/>
      <c r="AL163" s="6"/>
    </row>
    <row r="164" spans="35:38" x14ac:dyDescent="0.2">
      <c r="AI164" s="6"/>
      <c r="AJ164" s="6"/>
      <c r="AK164" s="6"/>
      <c r="AL164" s="6"/>
    </row>
    <row r="165" spans="35:38" x14ac:dyDescent="0.2">
      <c r="AI165" s="6"/>
      <c r="AJ165" s="6"/>
      <c r="AK165" s="6"/>
      <c r="AL165" s="6"/>
    </row>
    <row r="166" spans="35:38" x14ac:dyDescent="0.2">
      <c r="AI166" s="6"/>
      <c r="AJ166" s="6"/>
      <c r="AK166" s="6"/>
      <c r="AL166" s="6"/>
    </row>
    <row r="167" spans="35:38" x14ac:dyDescent="0.2">
      <c r="AI167" s="6"/>
      <c r="AJ167" s="6"/>
      <c r="AK167" s="6"/>
      <c r="AL167" s="6"/>
    </row>
    <row r="168" spans="35:38" x14ac:dyDescent="0.2">
      <c r="AI168" s="6"/>
      <c r="AJ168" s="6"/>
      <c r="AK168" s="6"/>
      <c r="AL168" s="6"/>
    </row>
    <row r="169" spans="35:38" x14ac:dyDescent="0.2">
      <c r="AI169" s="6"/>
      <c r="AJ169" s="6"/>
      <c r="AK169" s="6"/>
      <c r="AL169" s="6"/>
    </row>
    <row r="170" spans="35:38" x14ac:dyDescent="0.2">
      <c r="AI170" s="6"/>
      <c r="AJ170" s="6"/>
      <c r="AK170" s="6"/>
      <c r="AL170" s="6"/>
    </row>
    <row r="171" spans="35:38" x14ac:dyDescent="0.2">
      <c r="AI171" s="6"/>
      <c r="AJ171" s="6"/>
      <c r="AK171" s="6"/>
      <c r="AL171" s="6"/>
    </row>
    <row r="172" spans="35:38" x14ac:dyDescent="0.2">
      <c r="AI172" s="6"/>
      <c r="AJ172" s="6"/>
      <c r="AK172" s="6"/>
      <c r="AL172" s="6"/>
    </row>
    <row r="173" spans="35:38" x14ac:dyDescent="0.2">
      <c r="AI173" s="6"/>
      <c r="AJ173" s="6"/>
      <c r="AK173" s="6"/>
      <c r="AL173" s="6"/>
    </row>
    <row r="174" spans="35:38" x14ac:dyDescent="0.2">
      <c r="AI174" s="6"/>
      <c r="AJ174" s="6"/>
      <c r="AK174" s="6"/>
      <c r="AL174" s="6"/>
    </row>
    <row r="175" spans="35:38" x14ac:dyDescent="0.2">
      <c r="AI175" s="6"/>
      <c r="AJ175" s="6"/>
      <c r="AK175" s="6"/>
      <c r="AL175" s="6"/>
    </row>
    <row r="176" spans="35:38" x14ac:dyDescent="0.2">
      <c r="AI176" s="6"/>
      <c r="AJ176" s="6"/>
      <c r="AK176" s="6"/>
      <c r="AL176" s="6"/>
    </row>
    <row r="177" spans="35:38" x14ac:dyDescent="0.2">
      <c r="AI177" s="6"/>
      <c r="AJ177" s="6"/>
      <c r="AK177" s="6"/>
      <c r="AL177" s="6"/>
    </row>
    <row r="178" spans="35:38" x14ac:dyDescent="0.2">
      <c r="AI178" s="6"/>
      <c r="AJ178" s="6"/>
      <c r="AK178" s="6"/>
      <c r="AL178" s="6"/>
    </row>
    <row r="179" spans="35:38" x14ac:dyDescent="0.2">
      <c r="AI179" s="6"/>
      <c r="AJ179" s="6"/>
      <c r="AK179" s="6"/>
      <c r="AL179" s="6"/>
    </row>
    <row r="180" spans="35:38" x14ac:dyDescent="0.2">
      <c r="AI180" s="6"/>
      <c r="AJ180" s="6"/>
      <c r="AK180" s="6"/>
      <c r="AL180" s="6"/>
    </row>
    <row r="181" spans="35:38" x14ac:dyDescent="0.2">
      <c r="AI181" s="6"/>
      <c r="AJ181" s="6"/>
      <c r="AK181" s="6"/>
      <c r="AL181" s="6"/>
    </row>
    <row r="182" spans="35:38" x14ac:dyDescent="0.2">
      <c r="AI182" s="6"/>
      <c r="AJ182" s="6"/>
      <c r="AK182" s="6"/>
      <c r="AL182" s="6"/>
    </row>
    <row r="183" spans="35:38" x14ac:dyDescent="0.2">
      <c r="AI183" s="6"/>
      <c r="AJ183" s="6"/>
      <c r="AK183" s="6"/>
      <c r="AL183" s="6"/>
    </row>
    <row r="184" spans="35:38" x14ac:dyDescent="0.2">
      <c r="AI184" s="6"/>
      <c r="AJ184" s="6"/>
      <c r="AK184" s="6"/>
      <c r="AL184" s="6"/>
    </row>
    <row r="185" spans="35:38" x14ac:dyDescent="0.2">
      <c r="AI185" s="6"/>
      <c r="AJ185" s="6"/>
      <c r="AK185" s="6"/>
      <c r="AL185" s="6"/>
    </row>
    <row r="186" spans="35:38" x14ac:dyDescent="0.2">
      <c r="AI186" s="6"/>
      <c r="AJ186" s="6"/>
      <c r="AK186" s="6"/>
      <c r="AL186" s="6"/>
    </row>
    <row r="187" spans="35:38" x14ac:dyDescent="0.2">
      <c r="AI187" s="6"/>
      <c r="AJ187" s="6"/>
      <c r="AK187" s="6"/>
      <c r="AL187" s="6"/>
    </row>
    <row r="188" spans="35:38" x14ac:dyDescent="0.2">
      <c r="AI188" s="6"/>
      <c r="AJ188" s="6"/>
      <c r="AK188" s="6"/>
      <c r="AL188" s="6"/>
    </row>
    <row r="189" spans="35:38" x14ac:dyDescent="0.2">
      <c r="AI189" s="6"/>
      <c r="AJ189" s="6"/>
      <c r="AK189" s="6"/>
      <c r="AL189" s="6"/>
    </row>
    <row r="190" spans="35:38" x14ac:dyDescent="0.2">
      <c r="AI190" s="6"/>
      <c r="AJ190" s="6"/>
      <c r="AK190" s="6"/>
      <c r="AL190" s="6"/>
    </row>
    <row r="191" spans="35:38" x14ac:dyDescent="0.2">
      <c r="AI191" s="6"/>
      <c r="AJ191" s="6"/>
      <c r="AK191" s="6"/>
      <c r="AL191" s="6"/>
    </row>
    <row r="192" spans="35:38" x14ac:dyDescent="0.2">
      <c r="AI192" s="6"/>
      <c r="AJ192" s="6"/>
      <c r="AK192" s="6"/>
      <c r="AL192" s="6"/>
    </row>
    <row r="193" spans="35:38" x14ac:dyDescent="0.2">
      <c r="AI193" s="6"/>
      <c r="AJ193" s="6"/>
      <c r="AK193" s="6"/>
      <c r="AL193" s="6"/>
    </row>
    <row r="194" spans="35:38" x14ac:dyDescent="0.2">
      <c r="AI194" s="6"/>
      <c r="AJ194" s="6"/>
      <c r="AK194" s="6"/>
      <c r="AL194" s="6"/>
    </row>
    <row r="195" spans="35:38" x14ac:dyDescent="0.2">
      <c r="AI195" s="6"/>
      <c r="AJ195" s="6"/>
      <c r="AK195" s="6"/>
      <c r="AL195" s="6"/>
    </row>
    <row r="196" spans="35:38" x14ac:dyDescent="0.2">
      <c r="AI196" s="6"/>
      <c r="AJ196" s="6"/>
      <c r="AK196" s="6"/>
      <c r="AL196" s="6"/>
    </row>
    <row r="197" spans="35:38" x14ac:dyDescent="0.2">
      <c r="AI197" s="6"/>
      <c r="AJ197" s="6"/>
      <c r="AK197" s="6"/>
      <c r="AL197" s="6"/>
    </row>
    <row r="198" spans="35:38" x14ac:dyDescent="0.2">
      <c r="AI198" s="6"/>
      <c r="AJ198" s="6"/>
      <c r="AK198" s="6"/>
      <c r="AL198" s="6"/>
    </row>
    <row r="199" spans="35:38" x14ac:dyDescent="0.2">
      <c r="AI199" s="6"/>
      <c r="AJ199" s="6"/>
      <c r="AK199" s="6"/>
      <c r="AL199" s="6"/>
    </row>
    <row r="200" spans="35:38" x14ac:dyDescent="0.2">
      <c r="AI200" s="6"/>
      <c r="AJ200" s="6"/>
      <c r="AK200" s="6"/>
      <c r="AL200" s="6"/>
    </row>
    <row r="201" spans="35:38" x14ac:dyDescent="0.2">
      <c r="AI201" s="6"/>
      <c r="AJ201" s="6"/>
      <c r="AK201" s="6"/>
      <c r="AL201" s="6"/>
    </row>
    <row r="202" spans="35:38" x14ac:dyDescent="0.2">
      <c r="AI202" s="6"/>
      <c r="AJ202" s="6"/>
      <c r="AK202" s="6"/>
      <c r="AL202" s="6"/>
    </row>
    <row r="203" spans="35:38" x14ac:dyDescent="0.2">
      <c r="AI203" s="6"/>
      <c r="AJ203" s="6"/>
      <c r="AK203" s="6"/>
      <c r="AL203" s="6"/>
    </row>
    <row r="204" spans="35:38" x14ac:dyDescent="0.2">
      <c r="AI204" s="6"/>
      <c r="AJ204" s="6"/>
      <c r="AK204" s="6"/>
      <c r="AL204" s="6"/>
    </row>
    <row r="205" spans="35:38" x14ac:dyDescent="0.2">
      <c r="AI205" s="6"/>
      <c r="AJ205" s="6"/>
      <c r="AK205" s="6"/>
      <c r="AL205" s="6"/>
    </row>
    <row r="206" spans="35:38" x14ac:dyDescent="0.2">
      <c r="AI206" s="6"/>
      <c r="AJ206" s="6"/>
      <c r="AK206" s="6"/>
      <c r="AL206" s="6"/>
    </row>
    <row r="207" spans="35:38" x14ac:dyDescent="0.2">
      <c r="AI207" s="6"/>
      <c r="AJ207" s="6"/>
      <c r="AK207" s="6"/>
      <c r="AL207" s="6"/>
    </row>
    <row r="208" spans="35:38" x14ac:dyDescent="0.2">
      <c r="AI208" s="6"/>
      <c r="AJ208" s="6"/>
      <c r="AK208" s="6"/>
      <c r="AL208" s="6"/>
    </row>
    <row r="209" spans="35:38" x14ac:dyDescent="0.2">
      <c r="AI209" s="6"/>
      <c r="AJ209" s="6"/>
      <c r="AK209" s="6"/>
      <c r="AL209" s="6"/>
    </row>
    <row r="210" spans="35:38" x14ac:dyDescent="0.2">
      <c r="AI210" s="6"/>
      <c r="AJ210" s="6"/>
      <c r="AK210" s="6"/>
      <c r="AL210" s="6"/>
    </row>
    <row r="211" spans="35:38" x14ac:dyDescent="0.2">
      <c r="AI211" s="6"/>
      <c r="AJ211" s="6"/>
      <c r="AK211" s="6"/>
      <c r="AL211" s="6"/>
    </row>
    <row r="212" spans="35:38" x14ac:dyDescent="0.2">
      <c r="AI212" s="6"/>
      <c r="AJ212" s="6"/>
      <c r="AK212" s="6"/>
      <c r="AL212" s="6"/>
    </row>
    <row r="213" spans="35:38" x14ac:dyDescent="0.2">
      <c r="AI213" s="6"/>
      <c r="AJ213" s="6"/>
      <c r="AK213" s="6"/>
      <c r="AL213" s="6"/>
    </row>
    <row r="214" spans="35:38" x14ac:dyDescent="0.2">
      <c r="AI214" s="6"/>
      <c r="AJ214" s="6"/>
      <c r="AK214" s="6"/>
      <c r="AL214" s="6"/>
    </row>
    <row r="215" spans="35:38" x14ac:dyDescent="0.2">
      <c r="AI215" s="6"/>
      <c r="AJ215" s="6"/>
      <c r="AK215" s="6"/>
      <c r="AL215" s="6"/>
    </row>
    <row r="216" spans="35:38" x14ac:dyDescent="0.2">
      <c r="AI216" s="6"/>
      <c r="AJ216" s="6"/>
      <c r="AK216" s="6"/>
      <c r="AL216" s="6"/>
    </row>
    <row r="217" spans="35:38" x14ac:dyDescent="0.2">
      <c r="AI217" s="6"/>
      <c r="AJ217" s="6"/>
      <c r="AK217" s="6"/>
      <c r="AL217" s="6"/>
    </row>
    <row r="218" spans="35:38" x14ac:dyDescent="0.2">
      <c r="AI218" s="6"/>
      <c r="AJ218" s="6"/>
      <c r="AK218" s="6"/>
      <c r="AL218" s="6"/>
    </row>
    <row r="219" spans="35:38" x14ac:dyDescent="0.2">
      <c r="AI219" s="6"/>
      <c r="AJ219" s="6"/>
      <c r="AK219" s="6"/>
      <c r="AL219" s="6"/>
    </row>
    <row r="220" spans="35:38" x14ac:dyDescent="0.2">
      <c r="AI220" s="6"/>
      <c r="AJ220" s="6"/>
      <c r="AK220" s="6"/>
      <c r="AL220" s="6"/>
    </row>
    <row r="221" spans="35:38" x14ac:dyDescent="0.2">
      <c r="AI221" s="6"/>
      <c r="AJ221" s="6"/>
      <c r="AK221" s="6"/>
      <c r="AL221" s="6"/>
    </row>
    <row r="222" spans="35:38" x14ac:dyDescent="0.2">
      <c r="AI222" s="6"/>
      <c r="AJ222" s="6"/>
      <c r="AK222" s="6"/>
      <c r="AL222" s="6"/>
    </row>
    <row r="223" spans="35:38" x14ac:dyDescent="0.2">
      <c r="AI223" s="6"/>
      <c r="AJ223" s="6"/>
      <c r="AK223" s="6"/>
      <c r="AL223" s="6"/>
    </row>
    <row r="224" spans="35:38" x14ac:dyDescent="0.2">
      <c r="AI224" s="6"/>
      <c r="AJ224" s="6"/>
      <c r="AK224" s="6"/>
      <c r="AL224" s="6"/>
    </row>
    <row r="225" spans="35:38" x14ac:dyDescent="0.2">
      <c r="AI225" s="6"/>
      <c r="AJ225" s="6"/>
      <c r="AK225" s="6"/>
      <c r="AL225" s="6"/>
    </row>
    <row r="226" spans="35:38" x14ac:dyDescent="0.2">
      <c r="AI226" s="6"/>
      <c r="AJ226" s="6"/>
      <c r="AK226" s="6"/>
      <c r="AL226" s="6"/>
    </row>
    <row r="227" spans="35:38" x14ac:dyDescent="0.2">
      <c r="AI227" s="6"/>
      <c r="AJ227" s="6"/>
      <c r="AK227" s="6"/>
      <c r="AL227" s="6"/>
    </row>
    <row r="228" spans="35:38" x14ac:dyDescent="0.2">
      <c r="AI228" s="6"/>
      <c r="AJ228" s="6"/>
      <c r="AK228" s="6"/>
      <c r="AL228" s="6"/>
    </row>
    <row r="229" spans="35:38" x14ac:dyDescent="0.2">
      <c r="AI229" s="6"/>
      <c r="AJ229" s="6"/>
      <c r="AK229" s="6"/>
      <c r="AL229" s="6"/>
    </row>
    <row r="230" spans="35:38" x14ac:dyDescent="0.2">
      <c r="AI230" s="6"/>
      <c r="AJ230" s="6"/>
      <c r="AK230" s="6"/>
      <c r="AL230" s="6"/>
    </row>
    <row r="231" spans="35:38" x14ac:dyDescent="0.2">
      <c r="AI231" s="6"/>
      <c r="AJ231" s="6"/>
      <c r="AK231" s="6"/>
      <c r="AL231" s="6"/>
    </row>
    <row r="232" spans="35:38" x14ac:dyDescent="0.2">
      <c r="AI232" s="6"/>
      <c r="AJ232" s="6"/>
      <c r="AK232" s="6"/>
      <c r="AL232" s="6"/>
    </row>
    <row r="233" spans="35:38" x14ac:dyDescent="0.2">
      <c r="AI233" s="6"/>
      <c r="AJ233" s="6"/>
      <c r="AK233" s="6"/>
      <c r="AL233" s="6"/>
    </row>
    <row r="234" spans="35:38" x14ac:dyDescent="0.2">
      <c r="AI234" s="6"/>
      <c r="AJ234" s="6"/>
      <c r="AK234" s="6"/>
      <c r="AL234" s="6"/>
    </row>
    <row r="235" spans="35:38" x14ac:dyDescent="0.2">
      <c r="AI235" s="6"/>
      <c r="AJ235" s="6"/>
      <c r="AK235" s="6"/>
      <c r="AL235" s="6"/>
    </row>
    <row r="236" spans="35:38" x14ac:dyDescent="0.2">
      <c r="AI236" s="6"/>
      <c r="AJ236" s="6"/>
      <c r="AK236" s="6"/>
      <c r="AL236" s="6"/>
    </row>
    <row r="237" spans="35:38" x14ac:dyDescent="0.2">
      <c r="AI237" s="6"/>
      <c r="AJ237" s="6"/>
      <c r="AK237" s="6"/>
      <c r="AL237" s="6"/>
    </row>
    <row r="238" spans="35:38" x14ac:dyDescent="0.2">
      <c r="AI238" s="6"/>
      <c r="AJ238" s="6"/>
      <c r="AK238" s="6"/>
      <c r="AL238" s="6"/>
    </row>
    <row r="239" spans="35:38" x14ac:dyDescent="0.2">
      <c r="AI239" s="6"/>
      <c r="AJ239" s="6"/>
      <c r="AK239" s="6"/>
      <c r="AL239" s="6"/>
    </row>
    <row r="240" spans="35:38" x14ac:dyDescent="0.2">
      <c r="AI240" s="6"/>
      <c r="AJ240" s="6"/>
      <c r="AK240" s="6"/>
      <c r="AL240" s="6"/>
    </row>
    <row r="241" spans="35:38" x14ac:dyDescent="0.2">
      <c r="AI241" s="6"/>
      <c r="AJ241" s="6"/>
      <c r="AK241" s="6"/>
      <c r="AL241" s="6"/>
    </row>
    <row r="242" spans="35:38" x14ac:dyDescent="0.2">
      <c r="AI242" s="6"/>
      <c r="AJ242" s="6"/>
      <c r="AK242" s="6"/>
      <c r="AL242" s="6"/>
    </row>
    <row r="243" spans="35:38" x14ac:dyDescent="0.2">
      <c r="AI243" s="6"/>
      <c r="AJ243" s="6"/>
      <c r="AK243" s="6"/>
      <c r="AL243" s="6"/>
    </row>
    <row r="244" spans="35:38" x14ac:dyDescent="0.2">
      <c r="AI244" s="6"/>
      <c r="AJ244" s="6"/>
      <c r="AK244" s="6"/>
      <c r="AL244" s="6"/>
    </row>
    <row r="245" spans="35:38" x14ac:dyDescent="0.2">
      <c r="AI245" s="6"/>
      <c r="AJ245" s="6"/>
      <c r="AK245" s="6"/>
      <c r="AL245" s="6"/>
    </row>
    <row r="246" spans="35:38" x14ac:dyDescent="0.2">
      <c r="AI246" s="6"/>
      <c r="AJ246" s="6"/>
      <c r="AK246" s="6"/>
      <c r="AL246" s="6"/>
    </row>
    <row r="247" spans="35:38" x14ac:dyDescent="0.2">
      <c r="AI247" s="6"/>
      <c r="AJ247" s="6"/>
      <c r="AK247" s="6"/>
      <c r="AL247" s="6"/>
    </row>
    <row r="248" spans="35:38" x14ac:dyDescent="0.2">
      <c r="AI248" s="6"/>
      <c r="AJ248" s="6"/>
      <c r="AK248" s="6"/>
      <c r="AL248" s="6"/>
    </row>
    <row r="249" spans="35:38" x14ac:dyDescent="0.2">
      <c r="AI249" s="6"/>
      <c r="AJ249" s="6"/>
      <c r="AK249" s="6"/>
      <c r="AL249" s="6"/>
    </row>
    <row r="250" spans="35:38" x14ac:dyDescent="0.2">
      <c r="AI250" s="6"/>
      <c r="AJ250" s="6"/>
      <c r="AK250" s="6"/>
      <c r="AL250" s="6"/>
    </row>
    <row r="251" spans="35:38" x14ac:dyDescent="0.2">
      <c r="AI251" s="6"/>
      <c r="AJ251" s="6"/>
      <c r="AK251" s="6"/>
      <c r="AL251" s="6"/>
    </row>
    <row r="252" spans="35:38" x14ac:dyDescent="0.2">
      <c r="AI252" s="6"/>
      <c r="AJ252" s="6"/>
      <c r="AK252" s="6"/>
      <c r="AL252" s="6"/>
    </row>
    <row r="253" spans="35:38" x14ac:dyDescent="0.2">
      <c r="AI253" s="6"/>
      <c r="AJ253" s="6"/>
      <c r="AK253" s="6"/>
      <c r="AL253" s="6"/>
    </row>
    <row r="254" spans="35:38" x14ac:dyDescent="0.2">
      <c r="AI254" s="6"/>
      <c r="AJ254" s="6"/>
      <c r="AK254" s="6"/>
      <c r="AL254" s="6"/>
    </row>
    <row r="255" spans="35:38" x14ac:dyDescent="0.2">
      <c r="AI255" s="6"/>
      <c r="AJ255" s="6"/>
      <c r="AK255" s="6"/>
      <c r="AL255" s="6"/>
    </row>
    <row r="256" spans="35:38" x14ac:dyDescent="0.2">
      <c r="AI256" s="6"/>
      <c r="AJ256" s="6"/>
      <c r="AK256" s="6"/>
      <c r="AL256" s="6"/>
    </row>
    <row r="257" spans="35:38" x14ac:dyDescent="0.2">
      <c r="AI257" s="6"/>
      <c r="AJ257" s="6"/>
      <c r="AK257" s="6"/>
      <c r="AL257" s="6"/>
    </row>
    <row r="258" spans="35:38" x14ac:dyDescent="0.2">
      <c r="AI258" s="6"/>
      <c r="AJ258" s="6"/>
      <c r="AK258" s="6"/>
      <c r="AL258" s="6"/>
    </row>
    <row r="259" spans="35:38" x14ac:dyDescent="0.2">
      <c r="AI259" s="6"/>
      <c r="AJ259" s="6"/>
      <c r="AK259" s="6"/>
      <c r="AL259" s="6"/>
    </row>
    <row r="260" spans="35:38" x14ac:dyDescent="0.2">
      <c r="AI260" s="6"/>
      <c r="AJ260" s="6"/>
      <c r="AK260" s="6"/>
      <c r="AL260" s="6"/>
    </row>
    <row r="261" spans="35:38" x14ac:dyDescent="0.2">
      <c r="AI261" s="6"/>
      <c r="AJ261" s="6"/>
      <c r="AK261" s="6"/>
      <c r="AL261" s="6"/>
    </row>
    <row r="262" spans="35:38" x14ac:dyDescent="0.2">
      <c r="AI262" s="6"/>
      <c r="AJ262" s="6"/>
      <c r="AK262" s="6"/>
      <c r="AL262" s="6"/>
    </row>
    <row r="263" spans="35:38" x14ac:dyDescent="0.2">
      <c r="AI263" s="6"/>
      <c r="AJ263" s="6"/>
      <c r="AK263" s="6"/>
      <c r="AL263" s="6"/>
    </row>
    <row r="264" spans="35:38" x14ac:dyDescent="0.2">
      <c r="AI264" s="6"/>
      <c r="AJ264" s="6"/>
      <c r="AK264" s="6"/>
      <c r="AL264" s="6"/>
    </row>
    <row r="265" spans="35:38" x14ac:dyDescent="0.2">
      <c r="AI265" s="6"/>
      <c r="AJ265" s="6"/>
      <c r="AK265" s="6"/>
      <c r="AL265" s="6"/>
    </row>
    <row r="266" spans="35:38" x14ac:dyDescent="0.2">
      <c r="AI266" s="6"/>
      <c r="AJ266" s="6"/>
      <c r="AK266" s="6"/>
      <c r="AL266" s="6"/>
    </row>
    <row r="267" spans="35:38" x14ac:dyDescent="0.2">
      <c r="AI267" s="6"/>
      <c r="AJ267" s="6"/>
      <c r="AK267" s="6"/>
      <c r="AL267" s="6"/>
    </row>
    <row r="268" spans="35:38" x14ac:dyDescent="0.2">
      <c r="AI268" s="6"/>
      <c r="AJ268" s="6"/>
      <c r="AK268" s="6"/>
      <c r="AL268" s="6"/>
    </row>
    <row r="269" spans="35:38" x14ac:dyDescent="0.2">
      <c r="AI269" s="6"/>
      <c r="AJ269" s="6"/>
      <c r="AK269" s="6"/>
      <c r="AL269" s="6"/>
    </row>
    <row r="270" spans="35:38" x14ac:dyDescent="0.2">
      <c r="AI270" s="6"/>
      <c r="AJ270" s="6"/>
      <c r="AK270" s="6"/>
      <c r="AL270" s="6"/>
    </row>
    <row r="271" spans="35:38" x14ac:dyDescent="0.2">
      <c r="AI271" s="6"/>
      <c r="AJ271" s="6"/>
      <c r="AK271" s="6"/>
      <c r="AL271" s="6"/>
    </row>
    <row r="272" spans="35:38" x14ac:dyDescent="0.2">
      <c r="AI272" s="6"/>
      <c r="AJ272" s="6"/>
      <c r="AK272" s="6"/>
      <c r="AL272" s="6"/>
    </row>
    <row r="273" spans="35:38" x14ac:dyDescent="0.2">
      <c r="AI273" s="6"/>
      <c r="AJ273" s="6"/>
      <c r="AK273" s="6"/>
      <c r="AL273" s="6"/>
    </row>
    <row r="274" spans="35:38" x14ac:dyDescent="0.2">
      <c r="AI274" s="6"/>
      <c r="AJ274" s="6"/>
      <c r="AK274" s="6"/>
      <c r="AL274" s="6"/>
    </row>
    <row r="275" spans="35:38" x14ac:dyDescent="0.2">
      <c r="AI275" s="6"/>
      <c r="AJ275" s="6"/>
      <c r="AK275" s="6"/>
      <c r="AL275" s="6"/>
    </row>
    <row r="276" spans="35:38" x14ac:dyDescent="0.2">
      <c r="AI276" s="6"/>
      <c r="AJ276" s="6"/>
      <c r="AK276" s="6"/>
      <c r="AL276" s="6"/>
    </row>
    <row r="277" spans="35:38" x14ac:dyDescent="0.2">
      <c r="AI277" s="6"/>
      <c r="AJ277" s="6"/>
      <c r="AK277" s="6"/>
      <c r="AL277" s="6"/>
    </row>
    <row r="278" spans="35:38" x14ac:dyDescent="0.2">
      <c r="AI278" s="6"/>
      <c r="AJ278" s="6"/>
      <c r="AK278" s="6"/>
      <c r="AL278" s="6"/>
    </row>
    <row r="279" spans="35:38" x14ac:dyDescent="0.2">
      <c r="AI279" s="6"/>
      <c r="AJ279" s="6"/>
      <c r="AK279" s="6"/>
      <c r="AL279" s="6"/>
    </row>
    <row r="280" spans="35:38" x14ac:dyDescent="0.2">
      <c r="AI280" s="6"/>
      <c r="AJ280" s="6"/>
      <c r="AK280" s="6"/>
      <c r="AL280" s="6"/>
    </row>
    <row r="281" spans="35:38" x14ac:dyDescent="0.2">
      <c r="AI281" s="6"/>
      <c r="AJ281" s="6"/>
      <c r="AK281" s="6"/>
      <c r="AL281" s="6"/>
    </row>
    <row r="282" spans="35:38" x14ac:dyDescent="0.2">
      <c r="AI282" s="6"/>
      <c r="AJ282" s="6"/>
      <c r="AK282" s="6"/>
      <c r="AL282" s="6"/>
    </row>
    <row r="283" spans="35:38" x14ac:dyDescent="0.2">
      <c r="AI283" s="6"/>
      <c r="AJ283" s="6"/>
      <c r="AK283" s="6"/>
      <c r="AL283" s="6"/>
    </row>
    <row r="284" spans="35:38" x14ac:dyDescent="0.2">
      <c r="AI284" s="6"/>
      <c r="AJ284" s="6"/>
      <c r="AK284" s="6"/>
      <c r="AL284" s="6"/>
    </row>
    <row r="285" spans="35:38" x14ac:dyDescent="0.2">
      <c r="AI285" s="6"/>
      <c r="AJ285" s="6"/>
      <c r="AK285" s="6"/>
      <c r="AL285" s="6"/>
    </row>
    <row r="286" spans="35:38" x14ac:dyDescent="0.2">
      <c r="AI286" s="6"/>
      <c r="AJ286" s="6"/>
      <c r="AK286" s="6"/>
      <c r="AL286" s="6"/>
    </row>
    <row r="287" spans="35:38" x14ac:dyDescent="0.2">
      <c r="AI287" s="6"/>
      <c r="AJ287" s="6"/>
      <c r="AK287" s="6"/>
      <c r="AL287" s="6"/>
    </row>
    <row r="288" spans="35:38" x14ac:dyDescent="0.2">
      <c r="AI288" s="6"/>
      <c r="AJ288" s="6"/>
      <c r="AK288" s="6"/>
      <c r="AL288" s="6"/>
    </row>
    <row r="289" spans="35:38" x14ac:dyDescent="0.2">
      <c r="AI289" s="6"/>
      <c r="AJ289" s="6"/>
      <c r="AK289" s="6"/>
      <c r="AL289" s="6"/>
    </row>
    <row r="290" spans="35:38" x14ac:dyDescent="0.2">
      <c r="AI290" s="6"/>
      <c r="AJ290" s="6"/>
      <c r="AK290" s="6"/>
      <c r="AL290" s="6"/>
    </row>
    <row r="291" spans="35:38" x14ac:dyDescent="0.2">
      <c r="AI291" s="6"/>
      <c r="AJ291" s="6"/>
      <c r="AK291" s="6"/>
      <c r="AL291" s="6"/>
    </row>
    <row r="292" spans="35:38" x14ac:dyDescent="0.2">
      <c r="AI292" s="6"/>
      <c r="AJ292" s="6"/>
      <c r="AK292" s="6"/>
      <c r="AL292" s="6"/>
    </row>
    <row r="293" spans="35:38" x14ac:dyDescent="0.2">
      <c r="AI293" s="6"/>
      <c r="AJ293" s="6"/>
      <c r="AK293" s="6"/>
      <c r="AL293" s="6"/>
    </row>
    <row r="294" spans="35:38" x14ac:dyDescent="0.2">
      <c r="AI294" s="6"/>
      <c r="AJ294" s="6"/>
      <c r="AK294" s="6"/>
      <c r="AL294" s="6"/>
    </row>
    <row r="295" spans="35:38" x14ac:dyDescent="0.2">
      <c r="AI295" s="6"/>
      <c r="AJ295" s="6"/>
      <c r="AK295" s="6"/>
      <c r="AL295" s="6"/>
    </row>
    <row r="296" spans="35:38" x14ac:dyDescent="0.2">
      <c r="AI296" s="6"/>
      <c r="AJ296" s="6"/>
      <c r="AK296" s="6"/>
      <c r="AL296" s="6"/>
    </row>
    <row r="297" spans="35:38" x14ac:dyDescent="0.2">
      <c r="AI297" s="6"/>
      <c r="AJ297" s="6"/>
      <c r="AK297" s="6"/>
      <c r="AL297" s="6"/>
    </row>
    <row r="298" spans="35:38" x14ac:dyDescent="0.2">
      <c r="AI298" s="6"/>
      <c r="AJ298" s="6"/>
      <c r="AK298" s="6"/>
      <c r="AL298" s="6"/>
    </row>
    <row r="299" spans="35:38" x14ac:dyDescent="0.2">
      <c r="AI299" s="6"/>
      <c r="AJ299" s="6"/>
      <c r="AK299" s="6"/>
      <c r="AL299" s="6"/>
    </row>
    <row r="300" spans="35:38" x14ac:dyDescent="0.2">
      <c r="AI300" s="6"/>
      <c r="AJ300" s="6"/>
      <c r="AK300" s="6"/>
      <c r="AL300" s="6"/>
    </row>
    <row r="301" spans="35:38" x14ac:dyDescent="0.2">
      <c r="AI301" s="6"/>
      <c r="AJ301" s="6"/>
      <c r="AK301" s="6"/>
      <c r="AL301" s="6"/>
    </row>
    <row r="302" spans="35:38" x14ac:dyDescent="0.2">
      <c r="AI302" s="6"/>
      <c r="AJ302" s="6"/>
      <c r="AK302" s="6"/>
      <c r="AL302" s="6"/>
    </row>
    <row r="303" spans="35:38" x14ac:dyDescent="0.2">
      <c r="AI303" s="6"/>
      <c r="AJ303" s="6"/>
      <c r="AK303" s="6"/>
      <c r="AL303" s="6"/>
    </row>
    <row r="304" spans="35:38" x14ac:dyDescent="0.2">
      <c r="AI304" s="6"/>
      <c r="AJ304" s="6"/>
      <c r="AK304" s="6"/>
      <c r="AL304" s="6"/>
    </row>
    <row r="305" spans="35:38" x14ac:dyDescent="0.2">
      <c r="AI305" s="6"/>
      <c r="AJ305" s="6"/>
      <c r="AK305" s="6"/>
      <c r="AL305" s="6"/>
    </row>
    <row r="306" spans="35:38" x14ac:dyDescent="0.2">
      <c r="AI306" s="6"/>
      <c r="AJ306" s="6"/>
      <c r="AK306" s="6"/>
      <c r="AL306" s="6"/>
    </row>
  </sheetData>
  <mergeCells count="34">
    <mergeCell ref="C34:M34"/>
    <mergeCell ref="U39:Y39"/>
    <mergeCell ref="V49:W49"/>
    <mergeCell ref="V50:W50"/>
    <mergeCell ref="V54:W54"/>
    <mergeCell ref="C51:N55"/>
    <mergeCell ref="L37:M37"/>
    <mergeCell ref="L36:M36"/>
    <mergeCell ref="L47:M47"/>
    <mergeCell ref="K48:M48"/>
    <mergeCell ref="L40:M40"/>
    <mergeCell ref="K56:N56"/>
    <mergeCell ref="V52:W52"/>
    <mergeCell ref="L38:M38"/>
    <mergeCell ref="L39:M39"/>
    <mergeCell ref="L41:M41"/>
    <mergeCell ref="L43:M43"/>
    <mergeCell ref="L44:M44"/>
    <mergeCell ref="L45:M45"/>
    <mergeCell ref="L46:M46"/>
    <mergeCell ref="K20:N21"/>
    <mergeCell ref="H23:I24"/>
    <mergeCell ref="J31:N32"/>
    <mergeCell ref="S7:T7"/>
    <mergeCell ref="R1:X6"/>
    <mergeCell ref="C17:N17"/>
    <mergeCell ref="L7:N7"/>
    <mergeCell ref="J10:N12"/>
    <mergeCell ref="CC3:CF3"/>
    <mergeCell ref="BQ3:BT3"/>
    <mergeCell ref="BU3:BX3"/>
    <mergeCell ref="BY3:CB3"/>
    <mergeCell ref="C1:N1"/>
    <mergeCell ref="C2:N2"/>
  </mergeCells>
  <phoneticPr fontId="0" type="noConversion"/>
  <conditionalFormatting sqref="U39 R1">
    <cfRule type="cellIs" dxfId="2" priority="2" stopIfTrue="1" operator="notEqual">
      <formula>""</formula>
    </cfRule>
  </conditionalFormatting>
  <conditionalFormatting sqref="S29">
    <cfRule type="cellIs" dxfId="1" priority="1" operator="equal">
      <formula>"ft            ===&gt;"</formula>
    </cfRule>
  </conditionalFormatting>
  <dataValidations count="15">
    <dataValidation type="list" allowBlank="1" showInputMessage="1" showErrorMessage="1" sqref="R35">
      <formula1>$AG$50:$AG$51</formula1>
    </dataValidation>
    <dataValidation type="list" allowBlank="1" showInputMessage="1" showErrorMessage="1" sqref="AB17">
      <formula1>$AG$46:$AG$49</formula1>
    </dataValidation>
    <dataValidation type="list" allowBlank="1" showInputMessage="1" showErrorMessage="1" sqref="AB20">
      <formula1>$AE$46:$AE$49</formula1>
    </dataValidation>
    <dataValidation type="list" allowBlank="1" showInputMessage="1" showErrorMessage="1" sqref="R23">
      <formula1>$U$10:$U$14</formula1>
    </dataValidation>
    <dataValidation type="list" allowBlank="1" showInputMessage="1" showErrorMessage="1" sqref="Y26 R36">
      <formula1>$AD$46:$AD$53</formula1>
    </dataValidation>
    <dataValidation type="list" allowBlank="1" showInputMessage="1" showErrorMessage="1" sqref="X23">
      <formula1>$AF$46:$AF$53</formula1>
    </dataValidation>
    <dataValidation type="list" allowBlank="1" showInputMessage="1" showErrorMessage="1" sqref="T22">
      <formula1>$AG$59:$AG$60</formula1>
    </dataValidation>
    <dataValidation type="list" allowBlank="1" showInputMessage="1" showErrorMessage="1" sqref="X26">
      <formula1>$AG$63:$AG$65</formula1>
    </dataValidation>
    <dataValidation type="list" allowBlank="1" showInputMessage="1" showErrorMessage="1" sqref="Q41">
      <formula1>$AE$62:$AE$63</formula1>
    </dataValidation>
    <dataValidation type="list" allowBlank="1" showInputMessage="1" showErrorMessage="1" sqref="R13">
      <formula1>$AE$64:$AE$66</formula1>
    </dataValidation>
    <dataValidation type="list" allowBlank="1" showInputMessage="1" showErrorMessage="1" sqref="R26:S26">
      <formula1>$AF$54:$AF$71</formula1>
    </dataValidation>
    <dataValidation type="list" allowBlank="1" showInputMessage="1" showErrorMessage="1" sqref="R37">
      <formula1>$AG$53:$AG$56</formula1>
    </dataValidation>
    <dataValidation type="list" allowBlank="1" showInputMessage="1" showErrorMessage="1" sqref="T31">
      <formula1>$AD$54:$AD$57</formula1>
    </dataValidation>
    <dataValidation type="list" allowBlank="1" showInputMessage="1" showErrorMessage="1" sqref="X37:X38">
      <formula1>$AE$49:$AE$60</formula1>
    </dataValidation>
    <dataValidation type="list" allowBlank="1" showInputMessage="1" showErrorMessage="1" sqref="T42 T59">
      <formula1>$AG$66:$AG$68</formula1>
    </dataValidation>
  </dataValidations>
  <pageMargins left="0.75" right="0.5" top="0.75" bottom="0.25" header="0" footer="0.25"/>
  <pageSetup scale="98" fitToHeight="0" orientation="portrait" r:id="rId1"/>
  <headerFooter alignWithMargins="0">
    <oddFooter>&amp;LPrinted Date:  &amp;D&amp;C&amp;P&amp;R&amp;F</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T296"/>
  <sheetViews>
    <sheetView zoomScale="105" zoomScaleNormal="100" zoomScaleSheetLayoutView="100" workbookViewId="0">
      <pane xSplit="15" ySplit="8" topLeftCell="P9" activePane="bottomRight" state="frozen"/>
      <selection pane="topRight" activeCell="O1" sqref="O1"/>
      <selection pane="bottomLeft" activeCell="A7" sqref="A7"/>
      <selection pane="bottomRight" activeCell="P9" sqref="P9"/>
    </sheetView>
  </sheetViews>
  <sheetFormatPr defaultRowHeight="12.75" x14ac:dyDescent="0.2"/>
  <cols>
    <col min="1" max="1" width="2" customWidth="1"/>
    <col min="2" max="2" width="0.85546875" customWidth="1"/>
    <col min="3" max="3" width="4.7109375" customWidth="1"/>
    <col min="4" max="4" width="8.7109375" customWidth="1"/>
    <col min="5" max="5" width="10.7109375" customWidth="1"/>
    <col min="6" max="6" width="11.7109375" customWidth="1"/>
    <col min="7" max="7" width="7.28515625" customWidth="1"/>
    <col min="8" max="8" width="8" customWidth="1"/>
    <col min="9" max="9" width="11.140625" customWidth="1"/>
    <col min="10" max="10" width="6.7109375" customWidth="1"/>
    <col min="11" max="11" width="8.42578125" customWidth="1"/>
    <col min="12" max="12" width="7.5703125" customWidth="1"/>
    <col min="13" max="13" width="3.140625" customWidth="1"/>
    <col min="14" max="14" width="7.5703125" customWidth="1"/>
    <col min="15" max="15" width="0.85546875" customWidth="1"/>
    <col min="16" max="17" width="2.7109375" customWidth="1"/>
    <col min="18" max="18" width="19.85546875" customWidth="1"/>
    <col min="19" max="19" width="11.7109375" customWidth="1"/>
    <col min="20" max="20" width="15.5703125" customWidth="1"/>
    <col min="21" max="21" width="11.7109375" customWidth="1"/>
    <col min="22" max="23" width="3.5703125" customWidth="1"/>
    <col min="24" max="24" width="8.85546875" customWidth="1"/>
    <col min="25" max="27" width="11.7109375" customWidth="1"/>
    <col min="28" max="28" width="15.28515625" customWidth="1"/>
    <col min="29" max="35" width="11.7109375" customWidth="1"/>
  </cols>
  <sheetData>
    <row r="1" spans="1:98" ht="22.5" customHeight="1" x14ac:dyDescent="0.25">
      <c r="A1" s="13"/>
      <c r="B1" s="14"/>
      <c r="C1" s="156" t="s">
        <v>11</v>
      </c>
      <c r="D1" s="104"/>
      <c r="E1" s="155" t="str">
        <f>'Estimate Pg 1'!E10</f>
        <v>Northwood,  Br. No.:  095/113</v>
      </c>
      <c r="F1" s="101"/>
      <c r="H1" s="101"/>
      <c r="I1" s="101"/>
      <c r="L1" s="245">
        <f>'Estimate Pg 1'!L7</f>
        <v>42352</v>
      </c>
      <c r="M1" s="245"/>
      <c r="N1" s="245"/>
      <c r="O1" s="15"/>
      <c r="P1" s="170"/>
      <c r="Q1" s="170"/>
      <c r="R1" s="36"/>
      <c r="S1" s="235" t="str">
        <f>IF(AF55="","",AE55&amp;". "&amp;AF55&amp;CHAR(10))&amp;
IF(AF56="","",AE56&amp;". "&amp;AF56&amp;CHAR(10))&amp;
IF(AF57="","",AE57&amp;". "&amp;AF57&amp;CHAR(10))&amp;
IF(AF58="","",AE58&amp;". "&amp;AF58)</f>
        <v xml:space="preserve">1. ***  Proposed FOR to FOR width = '.  Existing Bridge width = 25'.  Check Input!  ***
</v>
      </c>
      <c r="T1" s="236"/>
      <c r="U1" s="236"/>
      <c r="V1" s="236"/>
      <c r="W1" s="236"/>
      <c r="X1" s="236"/>
      <c r="Y1" s="237"/>
      <c r="Z1" s="33"/>
      <c r="AA1" s="33"/>
      <c r="AB1" s="11"/>
      <c r="AC1" s="33"/>
      <c r="AD1" s="33"/>
      <c r="AE1" s="33"/>
      <c r="AF1" s="34" t="s">
        <v>49</v>
      </c>
      <c r="AG1" s="35" t="s">
        <v>67</v>
      </c>
      <c r="AH1" s="33"/>
      <c r="AI1" s="33"/>
      <c r="AJ1" s="36"/>
      <c r="AN1" s="1"/>
    </row>
    <row r="2" spans="1:98" ht="12.75" customHeight="1" x14ac:dyDescent="0.25">
      <c r="A2" s="13"/>
      <c r="B2" s="14"/>
      <c r="C2" s="101"/>
      <c r="D2" s="101"/>
      <c r="E2" s="104" t="str">
        <f>'Estimate Pg 1'!E11</f>
        <v>Bow Lake Rd over Shelburne Brk</v>
      </c>
      <c r="F2" s="101"/>
      <c r="G2" s="101"/>
      <c r="H2" s="101"/>
      <c r="I2" s="101"/>
      <c r="M2" s="178"/>
      <c r="N2" s="179" t="s">
        <v>213</v>
      </c>
      <c r="O2" s="15"/>
      <c r="P2" s="170"/>
      <c r="Q2" s="170"/>
      <c r="R2" s="172" t="s">
        <v>174</v>
      </c>
      <c r="S2" s="238"/>
      <c r="T2" s="239"/>
      <c r="U2" s="239"/>
      <c r="V2" s="239"/>
      <c r="W2" s="239"/>
      <c r="X2" s="239"/>
      <c r="Y2" s="240"/>
      <c r="Z2" s="33"/>
      <c r="AA2" s="33"/>
      <c r="AB2" s="12"/>
      <c r="AC2" s="33"/>
      <c r="AD2" s="33"/>
      <c r="AE2" s="33"/>
      <c r="AF2" s="37"/>
      <c r="AG2" s="38">
        <f>'Estimate Pg 1'!AF2</f>
        <v>1</v>
      </c>
      <c r="AH2" s="33"/>
      <c r="AI2" s="33"/>
      <c r="AJ2" s="36"/>
      <c r="AN2" s="1"/>
    </row>
    <row r="3" spans="1:98" ht="12.75" customHeight="1" x14ac:dyDescent="0.25">
      <c r="A3" s="13"/>
      <c r="B3" s="14"/>
      <c r="K3" s="177"/>
      <c r="L3" s="177"/>
      <c r="M3" s="177"/>
      <c r="N3" s="177"/>
      <c r="O3" s="15"/>
      <c r="P3" s="170"/>
      <c r="Q3" s="170"/>
      <c r="R3" s="173"/>
      <c r="S3" s="238"/>
      <c r="T3" s="239"/>
      <c r="U3" s="239"/>
      <c r="V3" s="239"/>
      <c r="W3" s="239"/>
      <c r="X3" s="239"/>
      <c r="Y3" s="240"/>
      <c r="Z3" s="33"/>
      <c r="AA3" s="33"/>
      <c r="AB3" s="12"/>
      <c r="AC3" s="33"/>
      <c r="AD3" s="33"/>
      <c r="AE3" s="33"/>
      <c r="AF3" s="33"/>
      <c r="AG3" s="33"/>
      <c r="AH3" s="33"/>
      <c r="AI3" s="33"/>
      <c r="AJ3" s="36"/>
      <c r="AN3" s="3"/>
      <c r="BL3" s="2"/>
      <c r="BM3" s="2"/>
      <c r="BN3" s="2"/>
      <c r="BO3" s="230"/>
      <c r="BP3" s="230"/>
      <c r="BQ3" s="230"/>
      <c r="BR3" s="230"/>
      <c r="BS3" s="230"/>
      <c r="BT3" s="230"/>
      <c r="BU3" s="230"/>
      <c r="BV3" s="230"/>
      <c r="BW3" s="230"/>
      <c r="BX3" s="230"/>
      <c r="BY3" s="230"/>
      <c r="BZ3" s="230"/>
      <c r="CA3" s="230"/>
      <c r="CB3" s="230"/>
      <c r="CC3" s="230"/>
      <c r="CD3" s="230"/>
      <c r="CE3" s="2"/>
      <c r="CF3" s="2"/>
      <c r="CG3" s="2"/>
      <c r="CH3" s="2"/>
      <c r="CI3" s="2"/>
      <c r="CJ3" s="2"/>
      <c r="CK3" s="2"/>
      <c r="CL3" s="2"/>
      <c r="CM3" s="2"/>
      <c r="CN3" s="2"/>
      <c r="CO3" s="2"/>
      <c r="CP3" s="2"/>
      <c r="CQ3" s="2"/>
      <c r="CR3" s="2"/>
      <c r="CS3" s="2"/>
      <c r="CT3" s="2"/>
    </row>
    <row r="4" spans="1:98" ht="12.75" customHeight="1" x14ac:dyDescent="0.25">
      <c r="A4" s="13"/>
      <c r="B4" s="14"/>
      <c r="E4" s="246" t="str">
        <f>'Estimate Pg 1'!J10</f>
        <v>Municipal Redlist</v>
      </c>
      <c r="F4" s="246"/>
      <c r="G4" s="246"/>
      <c r="H4" s="246"/>
      <c r="I4" s="246"/>
      <c r="J4" s="246"/>
      <c r="K4" s="246"/>
      <c r="L4" s="246"/>
      <c r="M4" s="177"/>
      <c r="N4" s="177"/>
      <c r="O4" s="15"/>
      <c r="P4" s="170"/>
      <c r="Q4" s="170"/>
      <c r="R4" s="173"/>
      <c r="S4" s="238"/>
      <c r="T4" s="239"/>
      <c r="U4" s="239"/>
      <c r="V4" s="239"/>
      <c r="W4" s="239"/>
      <c r="X4" s="239"/>
      <c r="Y4" s="240"/>
      <c r="Z4" s="33"/>
      <c r="AA4" s="33"/>
      <c r="AB4" s="33"/>
      <c r="AC4" s="33"/>
      <c r="AD4" s="33"/>
      <c r="AE4" s="33"/>
      <c r="AF4" s="33" t="s">
        <v>263</v>
      </c>
      <c r="AG4" s="35" t="s">
        <v>67</v>
      </c>
      <c r="AH4" s="33"/>
      <c r="AI4" s="33"/>
      <c r="AJ4" s="36"/>
      <c r="AN4" s="3"/>
      <c r="BL4" s="2"/>
      <c r="BM4" s="2"/>
      <c r="BN4" s="2"/>
      <c r="BO4" s="1"/>
      <c r="BP4" s="1"/>
      <c r="BQ4" s="1"/>
      <c r="BR4" s="1"/>
      <c r="BS4" s="1"/>
      <c r="BT4" s="1"/>
      <c r="BU4" s="1"/>
      <c r="BV4" s="1"/>
      <c r="BW4" s="1"/>
      <c r="BX4" s="1"/>
      <c r="BY4" s="1"/>
      <c r="BZ4" s="1"/>
      <c r="CA4" s="1"/>
      <c r="CB4" s="1"/>
      <c r="CC4" s="1"/>
      <c r="CD4" s="1"/>
      <c r="CE4" s="2"/>
      <c r="CF4" s="2"/>
      <c r="CG4" s="2"/>
      <c r="CH4" s="2"/>
      <c r="CI4" s="2"/>
      <c r="CJ4" s="2"/>
      <c r="CK4" s="2"/>
      <c r="CL4" s="2"/>
      <c r="CM4" s="2"/>
      <c r="CN4" s="2"/>
      <c r="CO4" s="2"/>
      <c r="CP4" s="2"/>
      <c r="CQ4" s="2"/>
      <c r="CR4" s="2"/>
      <c r="CS4" s="2"/>
      <c r="CT4" s="2"/>
    </row>
    <row r="5" spans="1:98" ht="12.75" customHeight="1" x14ac:dyDescent="0.25">
      <c r="A5" s="13"/>
      <c r="B5" s="14"/>
      <c r="C5" s="16"/>
      <c r="D5" s="16"/>
      <c r="E5" s="246"/>
      <c r="F5" s="246"/>
      <c r="G5" s="246"/>
      <c r="H5" s="246"/>
      <c r="I5" s="246"/>
      <c r="J5" s="246"/>
      <c r="K5" s="246"/>
      <c r="L5" s="246"/>
      <c r="M5" s="177"/>
      <c r="N5" s="177"/>
      <c r="O5" s="15"/>
      <c r="P5" s="170"/>
      <c r="Q5" s="170"/>
      <c r="R5" s="173"/>
      <c r="S5" s="238"/>
      <c r="T5" s="239"/>
      <c r="U5" s="239"/>
      <c r="V5" s="239"/>
      <c r="W5" s="239"/>
      <c r="X5" s="239"/>
      <c r="Y5" s="240"/>
      <c r="Z5" s="33"/>
      <c r="AA5" s="36"/>
      <c r="AB5" s="36"/>
      <c r="AC5" s="33"/>
      <c r="AD5" s="33"/>
      <c r="AE5" s="33"/>
      <c r="AF5" s="33"/>
      <c r="AG5" s="190">
        <f>'Estimate Pg 1'!AK9</f>
        <v>128</v>
      </c>
      <c r="AH5" s="33"/>
      <c r="AI5" s="33"/>
      <c r="AJ5" s="36"/>
      <c r="AN5" s="3"/>
      <c r="BL5" s="2"/>
      <c r="BM5" s="2"/>
      <c r="BN5" s="2"/>
      <c r="BO5" s="1"/>
      <c r="BP5" s="1"/>
      <c r="BQ5" s="1"/>
      <c r="BR5" s="1"/>
      <c r="BS5" s="1"/>
      <c r="BT5" s="1"/>
      <c r="BU5" s="1"/>
      <c r="BV5" s="1"/>
      <c r="BW5" s="1"/>
      <c r="BX5" s="1"/>
      <c r="BY5" s="1"/>
      <c r="BZ5" s="1"/>
      <c r="CA5" s="1"/>
      <c r="CB5" s="1"/>
      <c r="CC5" s="1"/>
      <c r="CD5" s="1"/>
      <c r="CE5" s="2"/>
      <c r="CF5" s="2"/>
      <c r="CG5" s="2"/>
      <c r="CH5" s="2"/>
      <c r="CI5" s="2"/>
      <c r="CJ5" s="2"/>
      <c r="CK5" s="2"/>
      <c r="CL5" s="2"/>
      <c r="CM5" s="2"/>
      <c r="CN5" s="2"/>
      <c r="CO5" s="2"/>
      <c r="CP5" s="2"/>
      <c r="CQ5" s="2"/>
      <c r="CR5" s="2"/>
      <c r="CS5" s="2"/>
      <c r="CT5" s="2"/>
    </row>
    <row r="6" spans="1:98" ht="4.5" customHeight="1" x14ac:dyDescent="0.25">
      <c r="A6" s="13"/>
      <c r="B6" s="14"/>
      <c r="C6" s="21"/>
      <c r="D6" s="21"/>
      <c r="E6" s="22"/>
      <c r="F6" s="22"/>
      <c r="G6" s="22"/>
      <c r="H6" s="22"/>
      <c r="I6" s="23"/>
      <c r="J6" s="24"/>
      <c r="K6" s="24"/>
      <c r="L6" s="24"/>
      <c r="M6" s="24"/>
      <c r="N6" s="25"/>
      <c r="O6" s="15"/>
      <c r="P6" s="170"/>
      <c r="Q6" s="170"/>
      <c r="R6" s="173"/>
      <c r="S6" s="238"/>
      <c r="T6" s="239"/>
      <c r="U6" s="239"/>
      <c r="V6" s="239"/>
      <c r="W6" s="239"/>
      <c r="X6" s="239"/>
      <c r="Y6" s="240"/>
      <c r="Z6" s="33"/>
      <c r="AA6" s="36"/>
      <c r="AB6" s="36"/>
      <c r="AC6" s="33"/>
      <c r="AD6" s="33"/>
      <c r="AE6" s="33"/>
      <c r="AF6" s="33"/>
      <c r="AG6" s="33"/>
      <c r="AH6" s="33"/>
      <c r="AI6" s="33"/>
      <c r="AJ6" s="36"/>
      <c r="AN6" s="3"/>
      <c r="BL6" s="2"/>
      <c r="BM6" s="2"/>
      <c r="BN6" s="2"/>
      <c r="BO6" s="175"/>
      <c r="BP6" s="175"/>
      <c r="BQ6" s="175"/>
      <c r="BR6" s="175"/>
      <c r="BS6" s="175"/>
      <c r="BT6" s="175"/>
      <c r="BU6" s="175"/>
      <c r="BV6" s="175"/>
      <c r="BW6" s="175"/>
      <c r="BX6" s="175"/>
      <c r="BY6" s="175"/>
      <c r="BZ6" s="175"/>
      <c r="CA6" s="175"/>
      <c r="CB6" s="175"/>
      <c r="CC6" s="175"/>
      <c r="CD6" s="175"/>
      <c r="CE6" s="2"/>
      <c r="CF6" s="2"/>
      <c r="CG6" s="2"/>
      <c r="CH6" s="2"/>
      <c r="CI6" s="2"/>
      <c r="CJ6" s="2"/>
      <c r="CK6" s="2"/>
      <c r="CL6" s="2"/>
      <c r="CM6" s="2"/>
      <c r="CN6" s="2"/>
      <c r="CO6" s="2"/>
      <c r="CP6" s="2"/>
      <c r="CQ6" s="2"/>
      <c r="CR6" s="2"/>
      <c r="CS6" s="2"/>
      <c r="CT6" s="2"/>
    </row>
    <row r="7" spans="1:98" ht="12.75" customHeight="1" x14ac:dyDescent="0.25">
      <c r="A7" s="13"/>
      <c r="B7" s="13"/>
      <c r="C7" s="26"/>
      <c r="D7" s="26"/>
      <c r="E7" s="27"/>
      <c r="F7" s="27"/>
      <c r="G7" s="27"/>
      <c r="H7" s="27"/>
      <c r="I7" s="28"/>
      <c r="J7" s="29"/>
      <c r="K7" s="29"/>
      <c r="L7" s="29"/>
      <c r="M7" s="29"/>
      <c r="N7" s="30"/>
      <c r="O7" s="31"/>
      <c r="P7" s="170"/>
      <c r="Q7" s="170"/>
      <c r="R7" s="173"/>
      <c r="S7" s="238"/>
      <c r="T7" s="239"/>
      <c r="U7" s="239"/>
      <c r="V7" s="239"/>
      <c r="W7" s="239"/>
      <c r="X7" s="239"/>
      <c r="Y7" s="240"/>
      <c r="Z7" s="33"/>
      <c r="AA7" s="36"/>
      <c r="AB7" s="36"/>
      <c r="AC7" s="33"/>
      <c r="AD7" s="33"/>
      <c r="AE7" s="33"/>
      <c r="AF7" s="33"/>
      <c r="AG7" s="33"/>
      <c r="AH7" s="33"/>
      <c r="AI7" s="33"/>
      <c r="AJ7" s="36"/>
      <c r="AN7" s="3"/>
      <c r="BL7" s="2"/>
      <c r="BM7" s="2"/>
      <c r="BN7" s="2"/>
      <c r="BO7" s="175"/>
      <c r="BP7" s="175"/>
      <c r="BQ7" s="175"/>
      <c r="BR7" s="175"/>
      <c r="BS7" s="175"/>
      <c r="BT7" s="175"/>
      <c r="BU7" s="175"/>
      <c r="BV7" s="175"/>
      <c r="BW7" s="175"/>
      <c r="BX7" s="175"/>
      <c r="BY7" s="175"/>
      <c r="BZ7" s="175"/>
      <c r="CA7" s="175"/>
      <c r="CB7" s="175"/>
      <c r="CC7" s="175"/>
      <c r="CD7" s="175"/>
      <c r="CE7" s="2"/>
      <c r="CF7" s="2"/>
      <c r="CG7" s="2"/>
      <c r="CH7" s="2"/>
      <c r="CI7" s="2"/>
      <c r="CJ7" s="2"/>
      <c r="CK7" s="2"/>
      <c r="CL7" s="2"/>
      <c r="CM7" s="2"/>
      <c r="CN7" s="2"/>
      <c r="CO7" s="2"/>
      <c r="CP7" s="2"/>
      <c r="CQ7" s="2"/>
      <c r="CR7" s="2"/>
      <c r="CS7" s="2"/>
      <c r="CT7" s="2"/>
    </row>
    <row r="8" spans="1:98" ht="5.0999999999999996" customHeight="1" x14ac:dyDescent="0.25">
      <c r="A8" s="13"/>
      <c r="B8" s="14"/>
      <c r="C8" s="21"/>
      <c r="D8" s="21"/>
      <c r="E8" s="22"/>
      <c r="F8" s="22"/>
      <c r="G8" s="22"/>
      <c r="H8" s="22"/>
      <c r="I8" s="23"/>
      <c r="J8" s="24"/>
      <c r="K8" s="24"/>
      <c r="L8" s="24"/>
      <c r="M8" s="24"/>
      <c r="N8" s="25"/>
      <c r="O8" s="15"/>
      <c r="P8" s="170"/>
      <c r="Q8" s="170"/>
      <c r="R8" s="174"/>
      <c r="S8" s="241"/>
      <c r="T8" s="242"/>
      <c r="U8" s="242"/>
      <c r="V8" s="242"/>
      <c r="W8" s="242"/>
      <c r="X8" s="242"/>
      <c r="Y8" s="243"/>
      <c r="Z8" s="33"/>
      <c r="AA8" s="36"/>
      <c r="AB8" s="36"/>
      <c r="AC8" s="33"/>
      <c r="AD8" s="33"/>
      <c r="AE8" s="33"/>
      <c r="AF8" s="33"/>
      <c r="AG8" s="33"/>
      <c r="AH8" s="33"/>
      <c r="AI8" s="33"/>
      <c r="AJ8" s="36"/>
      <c r="AN8" s="3"/>
      <c r="BL8" s="2"/>
      <c r="BM8" s="2"/>
      <c r="BN8" s="2"/>
      <c r="BO8" s="1"/>
      <c r="BP8" s="1"/>
      <c r="BQ8" s="1"/>
      <c r="BR8" s="1"/>
      <c r="BS8" s="1"/>
      <c r="BT8" s="1"/>
      <c r="BU8" s="1"/>
      <c r="BV8" s="1"/>
      <c r="BW8" s="1"/>
      <c r="BX8" s="1"/>
      <c r="BY8" s="1"/>
      <c r="BZ8" s="1"/>
      <c r="CA8" s="1"/>
      <c r="CB8" s="1"/>
      <c r="CC8" s="1"/>
      <c r="CD8" s="1"/>
      <c r="CE8" s="2"/>
      <c r="CF8" s="2"/>
      <c r="CG8" s="2"/>
      <c r="CH8" s="2"/>
      <c r="CI8" s="2"/>
      <c r="CJ8" s="2"/>
      <c r="CK8" s="2"/>
      <c r="CL8" s="2"/>
      <c r="CM8" s="2"/>
      <c r="CN8" s="2"/>
      <c r="CO8" s="2"/>
      <c r="CP8" s="2"/>
      <c r="CQ8" s="2"/>
      <c r="CR8" s="2"/>
      <c r="CS8" s="2"/>
      <c r="CT8" s="2"/>
    </row>
    <row r="9" spans="1:98" ht="14.1" customHeight="1" x14ac:dyDescent="0.25">
      <c r="A9" s="13"/>
      <c r="B9" s="14"/>
      <c r="O9" s="32"/>
      <c r="P9" s="171"/>
      <c r="Q9" s="171"/>
      <c r="R9" s="36"/>
      <c r="S9" s="40"/>
      <c r="T9" s="36"/>
      <c r="U9" s="36"/>
      <c r="V9" s="33"/>
      <c r="W9" s="33"/>
      <c r="X9" s="33"/>
      <c r="Y9" s="33"/>
      <c r="Z9" s="33"/>
      <c r="AA9" s="36"/>
      <c r="AB9" s="36"/>
      <c r="AC9" s="36"/>
      <c r="AD9" s="36"/>
      <c r="AE9" s="36"/>
      <c r="AF9" s="34" t="s">
        <v>71</v>
      </c>
      <c r="AG9" s="34"/>
      <c r="AH9" s="34"/>
      <c r="AI9" s="34"/>
      <c r="AJ9" s="36"/>
      <c r="AN9" s="3"/>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row>
    <row r="10" spans="1:98" ht="14.1" customHeight="1" x14ac:dyDescent="0.25">
      <c r="A10" s="13"/>
      <c r="B10" s="14"/>
      <c r="O10" s="32"/>
      <c r="P10" s="171"/>
      <c r="Q10" s="171"/>
      <c r="R10" s="36"/>
      <c r="S10" s="40"/>
      <c r="T10" s="36"/>
      <c r="U10" s="36"/>
      <c r="V10" s="33"/>
      <c r="W10" s="33"/>
      <c r="X10" s="33"/>
      <c r="Y10" s="33"/>
      <c r="Z10" s="33"/>
      <c r="AA10" s="36"/>
      <c r="AB10" s="36"/>
      <c r="AC10" s="36"/>
      <c r="AD10" s="36"/>
      <c r="AE10" s="36"/>
      <c r="AF10" s="41">
        <f>S14</f>
        <v>0</v>
      </c>
      <c r="AG10" s="159">
        <f>ROUND($AG$2*12*(AF10-INT(AF10)),0)/$AG$2</f>
        <v>0</v>
      </c>
      <c r="AH10" s="42"/>
      <c r="AI10" s="34"/>
      <c r="AJ10" s="45"/>
      <c r="AN10" s="3"/>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row>
    <row r="11" spans="1:98" ht="14.1" customHeight="1" x14ac:dyDescent="0.25">
      <c r="A11" s="13"/>
      <c r="B11" s="14"/>
      <c r="C11" s="9"/>
      <c r="D11" s="9"/>
      <c r="E11" s="103"/>
      <c r="F11" s="9"/>
      <c r="G11" s="9"/>
      <c r="H11" s="9"/>
      <c r="N11" s="9"/>
      <c r="O11" s="32"/>
      <c r="P11" s="171"/>
      <c r="Q11" s="171"/>
      <c r="R11" s="7" t="s">
        <v>62</v>
      </c>
      <c r="S11" s="36"/>
      <c r="T11" s="36"/>
      <c r="U11" s="36"/>
      <c r="V11" s="33"/>
      <c r="W11" s="33"/>
      <c r="X11" s="33"/>
      <c r="Y11" s="33"/>
      <c r="Z11" s="33" t="s">
        <v>61</v>
      </c>
      <c r="AA11" s="36"/>
      <c r="AB11" s="36"/>
      <c r="AC11" s="36"/>
      <c r="AD11" s="36"/>
      <c r="AE11" s="36"/>
      <c r="AF11" s="189">
        <f>(AG10-INT(AG10))*$AG$5</f>
        <v>0</v>
      </c>
      <c r="AG11" s="47" t="str">
        <f>TEXT(TRUNC(ABS(AF10)),"#,##0")&amp;"'-"&amp;TEXT(TRUNC(AG10),"0")&amp;VLOOKUP(AF11,inches,3)</f>
        <v>0'-0"</v>
      </c>
      <c r="AH11" s="48" t="str">
        <f>IF(AF10=0,"0''",IF(AF10&lt;0,"-","")&amp;IF(TRUNC(ABS(AF10))=0,"",TEXT(TRUNC(ABS(AF10)),"#,##0")&amp;"'-")&amp;IF(AND(AF10&lt;1,AG10&lt;1),"",TEXT(TRUNC(AG10),"0"))&amp;VLOOKUP(AF11,inches,3))</f>
        <v>0''</v>
      </c>
      <c r="AI11" s="34"/>
      <c r="AJ11" s="44"/>
      <c r="AN11" s="3"/>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row>
    <row r="12" spans="1:98" ht="14.1" customHeight="1" x14ac:dyDescent="0.25">
      <c r="A12" s="13"/>
      <c r="B12" s="14"/>
      <c r="C12" s="105" t="str">
        <f>IF('Estimate Pg 1'!S26="None","","Option 2: ")&amp;IF('Estimate Pg 1'!$R$26="Rehabilitate Existing Bridge",IF('Estimate Pg 1'!S26="Rehabilitate Existing Bridge (2)","Bridge Rehabilitation (2):","Proposed Bridge Replacement Structure:"),"Bridge Rehabilitation:")</f>
        <v>Bridge Rehabilitation:</v>
      </c>
      <c r="F12" s="101"/>
      <c r="H12" s="122" t="s">
        <v>221</v>
      </c>
      <c r="I12" s="101"/>
      <c r="J12" s="101"/>
      <c r="K12" s="101"/>
      <c r="L12" s="101"/>
      <c r="M12" s="101"/>
      <c r="N12" s="101"/>
      <c r="O12" s="32"/>
      <c r="P12" s="171"/>
      <c r="Q12" s="171"/>
      <c r="R12" s="36" t="s">
        <v>63</v>
      </c>
      <c r="S12" s="157" t="str">
        <f>'Estimate Pg 1'!S26</f>
        <v>None</v>
      </c>
      <c r="T12" s="36"/>
      <c r="U12" s="36"/>
      <c r="V12" s="36"/>
      <c r="W12" s="134"/>
      <c r="X12" s="60" t="s">
        <v>81</v>
      </c>
      <c r="Y12" s="50"/>
      <c r="Z12" s="50" t="s">
        <v>209</v>
      </c>
      <c r="AA12" s="36"/>
      <c r="AB12" s="36"/>
      <c r="AC12" s="36"/>
      <c r="AD12" s="36"/>
      <c r="AE12" s="36"/>
      <c r="AF12" s="34" t="s">
        <v>72</v>
      </c>
      <c r="AG12" s="34"/>
      <c r="AH12" s="34"/>
      <c r="AI12" s="34"/>
      <c r="AJ12" s="45"/>
      <c r="AN12" s="3"/>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row>
    <row r="13" spans="1:98" ht="14.1" customHeight="1" x14ac:dyDescent="0.25">
      <c r="A13" s="13"/>
      <c r="B13" s="14"/>
      <c r="C13" s="121" t="s">
        <v>152</v>
      </c>
      <c r="D13" s="106"/>
      <c r="E13" s="101" t="str">
        <f>IF(S12="Rehabilitate Existing Bridge (2)","Rehabilitate Existing Bridge",S12)</f>
        <v>None</v>
      </c>
      <c r="F13" s="101"/>
      <c r="H13" s="106" t="s">
        <v>153</v>
      </c>
      <c r="J13" s="107" t="str">
        <f>IF(E13="none","-----",IF(ISBLANK(Y12),IF(OR(E13="Rehabilitate Existing Bridge",E13="Rehabilitate Existing Bridge (2)"),"n/a","-----"),Y12&amp;IF(ISBLANK(Z12),""," ("&amp;Z12&amp;")")))</f>
        <v>-----</v>
      </c>
      <c r="K13" s="113"/>
      <c r="L13" s="101"/>
      <c r="M13" s="101"/>
      <c r="N13" s="101"/>
      <c r="O13" s="32"/>
      <c r="P13" s="171"/>
      <c r="Q13" s="171"/>
      <c r="R13" s="36" t="s">
        <v>286</v>
      </c>
      <c r="S13" s="199" t="str">
        <f>IF(OR(S12="None",LEFT(S12,5)="Rehab"),"-----",'Estimate Pg 1'!R30)</f>
        <v>-----</v>
      </c>
      <c r="T13" s="36" t="s">
        <v>288</v>
      </c>
      <c r="U13" s="171"/>
      <c r="V13" s="171"/>
      <c r="W13" s="171"/>
      <c r="X13" s="171"/>
      <c r="Y13" s="171"/>
      <c r="Z13" s="171"/>
      <c r="AA13" s="171"/>
      <c r="AB13" s="171"/>
      <c r="AC13" s="171"/>
      <c r="AD13" s="171"/>
      <c r="AE13" s="171"/>
      <c r="AF13" s="41">
        <f>Y16</f>
        <v>0</v>
      </c>
      <c r="AG13" s="159">
        <f>ROUND($AG$2*12*(AF13-INT(AF13)),0)/$AG$2</f>
        <v>0</v>
      </c>
      <c r="AH13" s="42"/>
      <c r="AI13" s="34"/>
      <c r="AJ13" s="45"/>
      <c r="AN13" s="3"/>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row>
    <row r="14" spans="1:98" ht="14.1" customHeight="1" x14ac:dyDescent="0.25">
      <c r="A14" s="13"/>
      <c r="B14" s="14"/>
      <c r="C14" s="121" t="s">
        <v>154</v>
      </c>
      <c r="D14" s="106"/>
      <c r="E14" s="101" t="str">
        <f>IF(ISBLANK(S14),IF(OR(E13="Rehabilitate Existing Bridge",E13="Rehabilitate Existing Bridge (2)"),"n/a","-----"),IF(ISTEXT(S14),S14,AG11)&amp;IF(IF(ISBLANK(S16),'Estimate Pg 1'!X20,S16)=0,""," (Normal to "&amp;'Estimate Pg 1'!T31))</f>
        <v>-----</v>
      </c>
      <c r="F14" s="101"/>
      <c r="H14" s="106" t="str">
        <f>IF(Y14="n/a","","Approx. Vert. Hgt:")</f>
        <v>Approx. Vert. Hgt:</v>
      </c>
      <c r="J14" s="114" t="str">
        <f>IF(E13="none","-----",IF(Y14="n/a","",IF(ISBLANK(Z15),IF(OR(E13="Rehabilitate Existing Bridge",E13="Rehabilitate Existing Bridge (2)"),"n/a","-----"),AG37&amp;IF(Y14="Yes"," (Streambed"," (Finished Grade")&amp;" to Finished Grade)")))</f>
        <v>-----</v>
      </c>
      <c r="K14" s="115"/>
      <c r="L14" s="101"/>
      <c r="M14" s="101"/>
      <c r="N14" s="101"/>
      <c r="O14" s="32"/>
      <c r="P14" s="171"/>
      <c r="Q14" s="171"/>
      <c r="R14" s="36" t="s">
        <v>66</v>
      </c>
      <c r="S14" s="58"/>
      <c r="T14" s="36" t="s">
        <v>332</v>
      </c>
      <c r="U14" s="141" t="str">
        <f>'Estimate Pg 1'!T31</f>
        <v>Stream</v>
      </c>
      <c r="V14" s="36" t="s">
        <v>320</v>
      </c>
      <c r="W14" s="36"/>
      <c r="X14" s="165" t="s">
        <v>88</v>
      </c>
      <c r="Y14" s="133" t="str">
        <f>Waterway</f>
        <v>Yes</v>
      </c>
      <c r="Z14" s="164" t="s">
        <v>197</v>
      </c>
      <c r="AA14" s="50"/>
      <c r="AB14" s="36" t="str">
        <f>IF(ISBLANK(AA14),IF(OR(Y14="No",Y14="n/a"),"",IF(OR(E13="Rehabilitate Existing Bridge",E13="Rehabilitate Existing Bridge (2)"),"The Waterway area will be unchanged by the proposed rehabiliation work.","The required waterway area for the proposed bridge was estimated.")&amp;"  A Hydraulic Study has not been done."),AA14)</f>
        <v>The required waterway area for the proposed bridge was estimated.  A Hydraulic Study has not been done.</v>
      </c>
      <c r="AC14" s="36"/>
      <c r="AD14" s="36"/>
      <c r="AE14" s="36"/>
      <c r="AF14" s="189">
        <f>(AG13-INT(AG13))*$AG$5</f>
        <v>0</v>
      </c>
      <c r="AG14" s="47" t="str">
        <f>TEXT(TRUNC(ABS(AF13)),"#,##0")&amp;"'-"&amp;TEXT(TRUNC(AG13),"0")&amp;VLOOKUP(AF14,inches,3)</f>
        <v>0'-0"</v>
      </c>
      <c r="AH14" s="48" t="str">
        <f>IF(AF13=0,"0''",IF(AF13&lt;0,"-","")&amp;IF(TRUNC(ABS(AF13))=0,"",TEXT(TRUNC(ABS(AF13)),"#,##0")&amp;"'-")&amp;IF(AND(AF13&lt;1,AG13&lt;1),"",TEXT(TRUNC(AG13),"0"))&amp;VLOOKUP(AF14,inches,3))</f>
        <v>0''</v>
      </c>
      <c r="AI14" s="34"/>
      <c r="AJ14" s="45"/>
      <c r="AN14" s="3"/>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row>
    <row r="15" spans="1:98" ht="14.1" customHeight="1" x14ac:dyDescent="0.25">
      <c r="A15" s="13"/>
      <c r="B15" s="14"/>
      <c r="C15" s="121" t="s">
        <v>181</v>
      </c>
      <c r="D15" s="106"/>
      <c r="E15" s="101" t="str">
        <f>IF(E13="none","-----",IF(OR(E13="Rehabilitate Existing Bridge",E13="Rehabilitate Existing Bridge (2)"),IF(AND(ISBLANK(S15),ISBLANK(Y16)),"n/a",AG18),IF(ISBLANK(Y16),"-----",IF(Y16="n/a","n/a",AG18))))</f>
        <v>-----</v>
      </c>
      <c r="F15" s="101"/>
      <c r="H15" s="106" t="s">
        <v>155</v>
      </c>
      <c r="J15" s="107" t="str">
        <f>IF(E13="none","-----",IF(ISBLANK(Y16),IF(OR(E13="Rehabilitate Existing Bridge",E13="Rehabilitate Existing Bridge (2)"),"n/a","-----"),IF(ISTEXT(Y16),Y16,AG14)))</f>
        <v>-----</v>
      </c>
      <c r="O15" s="32"/>
      <c r="P15" s="171"/>
      <c r="Q15" s="171"/>
      <c r="R15" s="36" t="s">
        <v>83</v>
      </c>
      <c r="S15" s="85"/>
      <c r="T15" s="36" t="s">
        <v>0</v>
      </c>
      <c r="U15" s="36"/>
      <c r="V15" s="36"/>
      <c r="W15" s="36"/>
      <c r="X15" s="36"/>
      <c r="Y15" s="60" t="str">
        <f>IF(Y14="Yes","Streambed","Finished Grade")&amp;" to Finished Grade Hgt:"</f>
        <v>Streambed to Finished Grade Hgt:</v>
      </c>
      <c r="Z15" s="58"/>
      <c r="AA15" s="36" t="s">
        <v>0</v>
      </c>
      <c r="AB15" s="36"/>
      <c r="AC15" s="36"/>
      <c r="AD15" s="36"/>
      <c r="AE15" s="36"/>
      <c r="AF15" s="125"/>
      <c r="AG15" s="126"/>
      <c r="AH15" s="126"/>
      <c r="AI15" s="126"/>
      <c r="AJ15" s="45"/>
      <c r="AN15" s="3"/>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row>
    <row r="16" spans="1:98" ht="14.1" customHeight="1" x14ac:dyDescent="0.25">
      <c r="A16" s="13"/>
      <c r="B16" s="14"/>
      <c r="C16" s="121" t="s">
        <v>144</v>
      </c>
      <c r="D16" s="106"/>
      <c r="E16" s="101" t="str">
        <f>IF(E13="none","-----",IF(OR(E13="Rehabilitate Existing Bridge",E13="Rehabilitate Existing Bridge (2)"),IF(ISBLANK(S16),"n/a",S16&amp;CHAR(176)),IF(ISBLANK(S16),'Estimate Pg 1'!H21,S16&amp;CHAR(176))))</f>
        <v>-----</v>
      </c>
      <c r="F16" s="101"/>
      <c r="H16" s="106" t="s">
        <v>182</v>
      </c>
      <c r="J16" s="107" t="str">
        <f>IF(E13="none","-----",IF(ISBLANK(Y16),IF(OR(E13="Rehabilitate Existing Bridge",E13="Rehabilitate Existing Bridge (2)"),"n/a","-----"),IF(Y16="n/a","n/a",AG22)))</f>
        <v>-----</v>
      </c>
      <c r="O16" s="32"/>
      <c r="P16" s="171"/>
      <c r="Q16" s="171"/>
      <c r="R16" s="36" t="s">
        <v>55</v>
      </c>
      <c r="S16" s="58"/>
      <c r="T16" s="36" t="s">
        <v>56</v>
      </c>
      <c r="U16" s="36"/>
      <c r="V16" s="36"/>
      <c r="W16" s="36"/>
      <c r="X16" s="127" t="s">
        <v>82</v>
      </c>
      <c r="Y16" s="58"/>
      <c r="Z16" s="36" t="s">
        <v>0</v>
      </c>
      <c r="AA16" s="36"/>
      <c r="AB16" s="36"/>
      <c r="AC16" s="36"/>
      <c r="AD16" s="36"/>
      <c r="AE16" s="36"/>
      <c r="AF16" s="34" t="s">
        <v>73</v>
      </c>
      <c r="AG16" s="34"/>
      <c r="AH16" s="34"/>
      <c r="AI16" s="34"/>
      <c r="AJ16" s="45"/>
      <c r="AN16" s="3"/>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row>
    <row r="17" spans="1:98" ht="14.1" customHeight="1" x14ac:dyDescent="0.25">
      <c r="A17" s="13"/>
      <c r="B17" s="14"/>
      <c r="C17" s="121" t="s">
        <v>156</v>
      </c>
      <c r="D17" s="108"/>
      <c r="E17" s="107" t="str">
        <f>IF(ISBLANK(S17),IF(OR(E13="Rehabilitate Existing Bridge",E13="Rehabilitate Existing Bridge (2)"),"n/a","-----"),S17&amp;IF(ISBLANK(S18),""," ("&amp;S18&amp;")"))</f>
        <v>-----</v>
      </c>
      <c r="F17" s="101"/>
      <c r="H17" s="106" t="s">
        <v>157</v>
      </c>
      <c r="J17" s="233" t="str">
        <f>IF(E13="none","-----",IF(AND(ISBLANK(Y19),ISBLANK(Y20)),IF(OR(E13="Rehabilitate Existing Bridge",E13="Rehabilitate Existing Bridge (2)"),"n/a","----"),IF(ISTEXT(Z19),Z19,AG34&amp;" Total Length "&amp;IF(AND(OR(ISNUMBER(Z19),ISNUMBER(Z20)),OR(Y19&lt;&gt;"",Y20&lt;&gt;""))," ("&amp;AB19&amp;IF(OR(AB19="",AB20=""),"",", ")&amp;AB20&amp;")",IF(AND(AB19="",AB20=""),"","(")&amp;AB19&amp;IF(OR(AB19="",AB20=""),"",", ")&amp;AB20&amp;IF(AND(AB19="",AB20=""),"",")")))))</f>
        <v>-----</v>
      </c>
      <c r="K17" s="233"/>
      <c r="L17" s="233"/>
      <c r="M17" s="233"/>
      <c r="N17" s="233"/>
      <c r="O17" s="32"/>
      <c r="P17" s="171"/>
      <c r="Q17" s="171"/>
      <c r="R17" s="36" t="s">
        <v>80</v>
      </c>
      <c r="S17" s="58"/>
      <c r="T17" s="36"/>
      <c r="U17" s="36"/>
      <c r="V17" s="40"/>
      <c r="W17" s="40"/>
      <c r="X17" s="127" t="s">
        <v>84</v>
      </c>
      <c r="Y17" s="85"/>
      <c r="Z17" s="36" t="s">
        <v>0</v>
      </c>
      <c r="AA17" s="36"/>
      <c r="AB17" s="36"/>
      <c r="AC17" s="36"/>
      <c r="AD17" s="36"/>
      <c r="AE17" s="36"/>
      <c r="AF17" s="41">
        <f>IF(ISBLANK(S15),AF13+3,S15)</f>
        <v>3</v>
      </c>
      <c r="AG17" s="159">
        <f>ROUND($AG$2*12*(AF17-INT(AF17)),0)/$AG$2</f>
        <v>0</v>
      </c>
      <c r="AH17" s="42"/>
      <c r="AI17" s="34"/>
      <c r="AJ17" s="45"/>
      <c r="AN17" s="3"/>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row>
    <row r="18" spans="1:98" ht="13.5" customHeight="1" x14ac:dyDescent="0.25">
      <c r="A18" s="13"/>
      <c r="B18" s="14"/>
      <c r="C18" s="121" t="s">
        <v>158</v>
      </c>
      <c r="D18" s="106"/>
      <c r="E18" s="101" t="str">
        <f>IF(ISBLANK(S19),IF(OR(E13="Rehabilitate Existing Bridge",E13="Rehabilitate Existing Bridge (2)"),"n/a","-----"),S19&amp;IF(OR(S19="1 Side",S19="2 Sides")," ("&amp;AG25&amp;" Width)",""))</f>
        <v>-----</v>
      </c>
      <c r="F18" s="101"/>
      <c r="G18" s="101"/>
      <c r="H18" s="101"/>
      <c r="J18" s="233"/>
      <c r="K18" s="233"/>
      <c r="L18" s="233"/>
      <c r="M18" s="233"/>
      <c r="N18" s="233"/>
      <c r="O18" s="32"/>
      <c r="P18" s="171"/>
      <c r="Q18" s="171"/>
      <c r="R18" s="127" t="s">
        <v>216</v>
      </c>
      <c r="S18" s="50"/>
      <c r="T18" s="36"/>
      <c r="U18" s="36"/>
      <c r="V18" s="40"/>
      <c r="W18" s="40"/>
      <c r="X18" s="165" t="s">
        <v>64</v>
      </c>
      <c r="Y18" s="59" t="s">
        <v>45</v>
      </c>
      <c r="Z18" s="59" t="s">
        <v>113</v>
      </c>
      <c r="AA18" s="59" t="s">
        <v>61</v>
      </c>
      <c r="AB18" s="36"/>
      <c r="AC18" s="36"/>
      <c r="AD18" s="36"/>
      <c r="AE18" s="36"/>
      <c r="AF18" s="189">
        <f>(AG17-INT(AG17))*$AG$5</f>
        <v>0</v>
      </c>
      <c r="AG18" s="47" t="str">
        <f>TEXT(TRUNC(ABS(AF17)),"#,##0")&amp;"'-"&amp;TEXT(TRUNC(AG17),"0")&amp;VLOOKUP(AF18,inches,3)</f>
        <v>3'-0"</v>
      </c>
      <c r="AH18" s="48" t="str">
        <f>IF(AF17=0,"0''",IF(AF17&lt;0,"-","")&amp;IF(TRUNC(ABS(AF17))=0,"",TEXT(TRUNC(ABS(AF17)),"#,##0")&amp;"'-")&amp;IF(AND(AF17&lt;1,AG17&lt;1),"",TEXT(TRUNC(AG17),"0"))&amp;VLOOKUP(AF18,inches,3))</f>
        <v>3'-0"</v>
      </c>
      <c r="AI18" s="34"/>
      <c r="AJ18" s="45"/>
      <c r="AN18" s="3"/>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row>
    <row r="19" spans="1:98" ht="14.1" customHeight="1" x14ac:dyDescent="0.25">
      <c r="A19" s="13"/>
      <c r="B19" s="14"/>
      <c r="C19" s="101"/>
      <c r="D19" s="101"/>
      <c r="E19" s="101"/>
      <c r="F19" s="115"/>
      <c r="G19" s="101"/>
      <c r="H19" s="101"/>
      <c r="I19" s="101"/>
      <c r="J19" s="101"/>
      <c r="K19" s="101"/>
      <c r="L19" s="101"/>
      <c r="M19" s="101"/>
      <c r="N19" s="101"/>
      <c r="O19" s="32"/>
      <c r="P19" s="171"/>
      <c r="Q19" s="171"/>
      <c r="R19" s="36" t="s">
        <v>75</v>
      </c>
      <c r="S19" s="58"/>
      <c r="T19" s="36"/>
      <c r="U19" s="36"/>
      <c r="V19" s="40"/>
      <c r="W19" s="40"/>
      <c r="X19" s="140" t="s">
        <v>111</v>
      </c>
      <c r="Y19" s="161"/>
      <c r="Z19" s="58"/>
      <c r="AA19" s="50"/>
      <c r="AB19" s="36" t="str">
        <f>IF(OR(Y19="Not Included",Y20="Not Included"),"Not Included",IF(COUNTA(Y19:Y20)+COUNTA(AA19:AA20)=0,"",IF(ISBLANK(Z19),"",IF(AND(ISBLANK(Y19),ISBLANK(Z19)),"",Y19&amp;IF(OR(ISBLANK(Z19),ISBLANK(Z20)),"",":  "&amp;Z19&amp;"'")&amp;IF(ISBLANK(AA19),""," "&amp;AA19)))))</f>
        <v/>
      </c>
      <c r="AC19" s="36"/>
      <c r="AD19" s="36"/>
      <c r="AE19" s="36"/>
      <c r="AF19" s="34" t="s">
        <v>74</v>
      </c>
      <c r="AG19" s="34"/>
      <c r="AH19" s="34"/>
      <c r="AI19" s="34"/>
      <c r="AJ19" s="45"/>
      <c r="AN19" s="3"/>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row>
    <row r="20" spans="1:98" ht="14.1" customHeight="1" x14ac:dyDescent="0.25">
      <c r="A20" s="13"/>
      <c r="B20" s="14"/>
      <c r="C20" s="244" t="s">
        <v>108</v>
      </c>
      <c r="D20" s="244"/>
      <c r="E20" s="244"/>
      <c r="F20" s="244"/>
      <c r="G20" s="244"/>
      <c r="H20" s="244"/>
      <c r="I20" s="244"/>
      <c r="J20" s="244"/>
      <c r="K20" s="244"/>
      <c r="L20" s="244"/>
      <c r="M20" s="244"/>
      <c r="N20" s="129" t="str">
        <f>IF(R24="off","","Unrnd'd")</f>
        <v>Unrnd'd</v>
      </c>
      <c r="O20" s="32"/>
      <c r="P20" s="171"/>
      <c r="Q20" s="171"/>
      <c r="R20" s="36" t="s">
        <v>78</v>
      </c>
      <c r="S20" s="58"/>
      <c r="T20" s="36" t="s">
        <v>0</v>
      </c>
      <c r="U20" s="36"/>
      <c r="V20" s="40"/>
      <c r="W20" s="40"/>
      <c r="X20" s="140" t="s">
        <v>112</v>
      </c>
      <c r="Y20" s="161"/>
      <c r="Z20" s="58"/>
      <c r="AA20" s="65"/>
      <c r="AB20" s="36" t="str">
        <f>IF(COUNTA(Y19:Y20)+COUNTA(AA19:AA20)=0,"",IF(ISBLANK(Z20),"",IF(AND(ISBLANK(Y20),ISBLANK(Z20)),"",IF(OR(ISBLANK(Z19),ISTEXT(AA19)),"","        ")&amp;Y20&amp;IF(OR(ISBLANK(Z20),ISBLANK(Z19)),"",":  "&amp;Z20&amp;"'")&amp;IF(ISBLANK(AA20),""," "&amp;AA20))))</f>
        <v/>
      </c>
      <c r="AC20" s="36"/>
      <c r="AD20" s="36"/>
      <c r="AE20" s="36"/>
      <c r="AF20" s="41">
        <f>IF(ISBLANK(Y17),AF13-IF(OR(ISBLANK(S19),S19="None"),2*0.5,IF(S19="1 Side",S20+0.5,2*S20)),Y17)</f>
        <v>-1</v>
      </c>
      <c r="AG20" s="159">
        <f>ROUND($AG$2*12*(AF20-INT(AF20)),0)/$AG$2</f>
        <v>0</v>
      </c>
      <c r="AH20" s="42"/>
      <c r="AI20" s="34"/>
      <c r="AJ20" s="45"/>
      <c r="AN20" s="3"/>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row>
    <row r="21" spans="1:98" ht="14.1" customHeight="1" thickBot="1" x14ac:dyDescent="0.3">
      <c r="A21" s="13"/>
      <c r="B21" s="14"/>
      <c r="C21" s="219"/>
      <c r="D21" s="219"/>
      <c r="E21" s="219"/>
      <c r="F21" s="219"/>
      <c r="G21" s="219"/>
      <c r="H21" s="219"/>
      <c r="I21" s="219"/>
      <c r="J21" s="219"/>
      <c r="K21" s="219"/>
      <c r="L21" s="219"/>
      <c r="M21" s="219"/>
      <c r="N21" s="129" t="str">
        <f>IF(R24="off","","Values")</f>
        <v>Values</v>
      </c>
      <c r="O21" s="32"/>
      <c r="P21" s="171"/>
      <c r="Q21" s="171"/>
      <c r="R21" s="36"/>
      <c r="S21" s="58"/>
      <c r="T21" s="36"/>
      <c r="U21" s="36"/>
      <c r="V21" s="40"/>
      <c r="W21" s="40"/>
      <c r="X21" s="140"/>
      <c r="Y21" s="140"/>
      <c r="Z21" s="140"/>
      <c r="AA21" s="140"/>
      <c r="AB21" s="36"/>
      <c r="AC21" s="36"/>
      <c r="AD21" s="36"/>
      <c r="AE21" s="36"/>
      <c r="AF21" s="223"/>
      <c r="AG21" s="125"/>
      <c r="AH21" s="224"/>
      <c r="AI21" s="34"/>
      <c r="AJ21" s="45"/>
      <c r="AN21" s="3"/>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row>
    <row r="22" spans="1:98" ht="14.1" customHeight="1" thickBot="1" x14ac:dyDescent="0.3">
      <c r="A22" s="13"/>
      <c r="B22" s="14"/>
      <c r="C22" s="122" t="s">
        <v>120</v>
      </c>
      <c r="D22" s="107"/>
      <c r="F22" s="101"/>
      <c r="G22" s="101"/>
      <c r="H22" s="116"/>
      <c r="I22" s="117"/>
      <c r="K22" s="118" t="str">
        <f>IF(E13="none","",IF(ISNUMBER(Y26)," (Includes mobil. See Notes for item list.)","["&amp;S14&amp;"’    +     3("&amp;Z15&amp;"’)]"&amp;IF(IF(ISBLANK(S16),Y54,S16)=0,"","  /  cos("&amp;IF(ISBLANK(S16),'Estimate Pg 1'!X20,S16)&amp;CHAR(176)&amp;")")&amp;"     x     "&amp;Y16&amp;"’ "&amp;IF(S17="Yes","    x     1.25 ","")&amp;"    x     $"&amp;U25&amp;"/sf ≈"))</f>
        <v/>
      </c>
      <c r="L22" s="249">
        <f>IF(E13="none",0,IF(ISNUMBER($Y$26),Y26,ROUNDUP((S14+IF(U14="Stream",3,4)*Z15)/COS(RADIANS(IF(ISBLANK(S16),Y54,S16)))*Y16*IF(S17="Yes",1.25,1)*U25,T41)))</f>
        <v>0</v>
      </c>
      <c r="M22" s="249"/>
      <c r="N22" s="123">
        <f>IF(R24="off","",IF(ISNUMBER($Y$26),Y26,(S14+3*Z15)/COS(RADIANS(IF(ISBLANK(S16),Y54,S16)))*Y16*IF(S17="Yes",1.25,1)*U25))</f>
        <v>0</v>
      </c>
      <c r="O22" s="32"/>
      <c r="P22" s="171"/>
      <c r="Q22" s="171"/>
      <c r="R22" s="36"/>
      <c r="S22" s="36"/>
      <c r="T22" s="36"/>
      <c r="U22" s="36"/>
      <c r="V22" s="252" t="str">
        <f>IF(AND(ISNUMBER(Z19),ISNUMBER(Z20)),IF(AND(ISBLANK(Y19),ISBLANK(Y20)),"",IF(OR(ISBLANK(Y19),ISBLANK(Y20)),"*** Missing Approach Designation! ***","")),"")</f>
        <v/>
      </c>
      <c r="W22" s="253"/>
      <c r="X22" s="253"/>
      <c r="Y22" s="253"/>
      <c r="Z22" s="254"/>
      <c r="AA22" s="36"/>
      <c r="AB22" s="36"/>
      <c r="AC22" s="36"/>
      <c r="AD22" s="36"/>
      <c r="AE22" s="36"/>
      <c r="AF22" s="189">
        <f>(AG20-INT(AG20))*$AG$5</f>
        <v>0</v>
      </c>
      <c r="AG22" s="47" t="str">
        <f>TEXT(TRUNC(ABS(AF20)),"#,##0")&amp;"'-"&amp;TEXT(TRUNC(AG20),"0")&amp;VLOOKUP(AF22,inches,3)</f>
        <v>1'-0"</v>
      </c>
      <c r="AH22" s="48" t="str">
        <f>IF(AF20=0,"0''",IF(AF20&lt;0,"-","")&amp;IF(TRUNC(ABS(AF20))=0,"",TEXT(TRUNC(ABS(AF20)),"#,##0")&amp;"'-")&amp;IF(AND(AF20&lt;1,AG20&lt;1),"",TEXT(TRUNC(AG20),"0"))&amp;VLOOKUP(AF22,inches,3))</f>
        <v>-1'-"</v>
      </c>
      <c r="AI22" s="34"/>
      <c r="AJ22" s="45"/>
      <c r="AN22" s="3"/>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row>
    <row r="23" spans="1:98" ht="14.1" customHeight="1" x14ac:dyDescent="0.25">
      <c r="A23" s="13"/>
      <c r="B23" s="14"/>
      <c r="C23" s="122" t="s">
        <v>339</v>
      </c>
      <c r="K23" s="118" t="str">
        <f>IF(E13="none","",IF(ISNUMBER($Y$26),"","$"&amp;TEXT(U26,"0,000")&amp;"      +      $"&amp;TEXT(U27,"0,000")&amp;" ≈"))</f>
        <v/>
      </c>
      <c r="L23" s="249">
        <f>IF(E13="none",0,IF(ISNUMBER($Y$26),0,ROUNDUP(U26+U27,T41)))</f>
        <v>0</v>
      </c>
      <c r="M23" s="249"/>
      <c r="N23" s="123">
        <f>IF(R24="off","",IF(ISNUMBER($Y$26),0,U26+U27))</f>
        <v>30000</v>
      </c>
      <c r="O23" s="32"/>
      <c r="P23" s="171"/>
      <c r="Q23" s="171"/>
      <c r="R23" s="36"/>
      <c r="S23" s="36"/>
      <c r="T23" s="36"/>
      <c r="U23" s="36"/>
      <c r="V23" s="36"/>
      <c r="W23" s="36"/>
      <c r="X23" s="36"/>
      <c r="Y23" s="36"/>
      <c r="Z23" s="36"/>
      <c r="AA23" s="10"/>
      <c r="AB23" s="36"/>
      <c r="AC23" s="36"/>
      <c r="AD23" s="36"/>
      <c r="AE23" s="36"/>
      <c r="AF23" s="34" t="s">
        <v>79</v>
      </c>
      <c r="AG23" s="34"/>
      <c r="AH23" s="34"/>
      <c r="AI23" s="34"/>
      <c r="AJ23" s="45"/>
      <c r="AN23" s="3"/>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row>
    <row r="24" spans="1:98" ht="14.1" customHeight="1" x14ac:dyDescent="0.25">
      <c r="A24" s="13"/>
      <c r="B24" s="14"/>
      <c r="C24" s="122" t="str">
        <f>"Approach Cost"&amp;IF(E13="none","",IF(ISNUMBER($Y$28),"  (Includes mobilization)",IF(OR(Y19="Not Included",Y20="Not Included"),"  -  Not Included"," (includes mobil.) ["&amp;TEXT(AF33,"#,###")&amp;"’  x  $"&amp;TEXT(U28,"#,###")&amp;"/lf   x  "&amp;1+U29&amp;"]"&amp;IF(ISBLANK(Y26),"+ ["&amp;U29&amp;" x ($"&amp;TEXT(L22,"#,###")&amp;" + $"&amp;TEXT(L23,"#,###")&amp;") ]",""))))</f>
        <v>Approach Cost</v>
      </c>
      <c r="D24" s="107"/>
      <c r="E24" s="107"/>
      <c r="F24" s="107"/>
      <c r="G24" s="107"/>
      <c r="H24" s="107"/>
      <c r="I24" s="107"/>
      <c r="J24" s="107"/>
      <c r="K24" s="120" t="str">
        <f>IF(ISNUMBER($Y$28),"","≈")</f>
        <v>≈</v>
      </c>
      <c r="L24" s="249">
        <f>IF(E13="none",0,IF(OR(Y19="Not Included",Y20="Not Included"),"$   --------",IF(ISNUMBER($Y$28),IF(Y28=0,"$   --------",Y28),ROUNDUP((AF33*U28*(1+U29))+IF(ISBLANK(Y26),(U29*(L22+L23)),0),T41))))</f>
        <v>0</v>
      </c>
      <c r="M24" s="249"/>
      <c r="N24" s="123">
        <f>IF(R24="off","",IF(ISNUMBER($Y$26),IF(Y28=0,"$   --------",Y28),(AF33*U28*(1+U29))+(U29*(L22+L23))))</f>
        <v>0</v>
      </c>
      <c r="O24" s="32"/>
      <c r="P24" s="171"/>
      <c r="Q24" s="171"/>
      <c r="R24" s="58" t="s">
        <v>162</v>
      </c>
      <c r="S24" s="7" t="s">
        <v>133</v>
      </c>
      <c r="T24" s="7"/>
      <c r="U24" s="36"/>
      <c r="V24" s="67"/>
      <c r="W24" s="67"/>
      <c r="X24" s="7"/>
      <c r="Y24" s="211" t="s">
        <v>329</v>
      </c>
      <c r="Z24" s="36"/>
      <c r="AA24" s="10"/>
      <c r="AB24" s="10"/>
      <c r="AC24" s="36"/>
      <c r="AD24" s="36"/>
      <c r="AE24" s="36"/>
      <c r="AF24" s="41">
        <f>S20</f>
        <v>0</v>
      </c>
      <c r="AG24" s="159">
        <f>ROUND($AG$2*12*(AF24-INT(AF24)),0)/$AG$2</f>
        <v>0</v>
      </c>
      <c r="AH24" s="42"/>
      <c r="AI24" s="34"/>
      <c r="AJ24" s="45"/>
      <c r="AN24" s="3"/>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row>
    <row r="25" spans="1:98" ht="14.1" customHeight="1" x14ac:dyDescent="0.25">
      <c r="A25" s="13"/>
      <c r="B25" s="14"/>
      <c r="C25" s="122" t="s">
        <v>117</v>
      </c>
      <c r="D25" s="107"/>
      <c r="E25" s="107"/>
      <c r="F25" s="101"/>
      <c r="G25" s="101"/>
      <c r="H25" s="101"/>
      <c r="I25" s="101"/>
      <c r="J25" s="116"/>
      <c r="K25" s="101"/>
      <c r="L25" s="249">
        <f>IF(ISBLANK(U33),ROUNDUP(W33*(IF(ISTEXT(L22),0,L22)+IF(ISTEXT(L24),0,L24)),T41),IF(U33=0,"$   --------",U33))</f>
        <v>0</v>
      </c>
      <c r="M25" s="249"/>
      <c r="N25" s="123">
        <f>IF(R24="off","",IF(ISBLANK(U33),W33*(IF(ISTEXT(L22),0,L22)+IF(ISTEXT(L24),0,L24)),IF(U33=0,"$   --------",U33)))</f>
        <v>0</v>
      </c>
      <c r="O25" s="32"/>
      <c r="P25" s="171"/>
      <c r="Q25" s="171"/>
      <c r="R25" s="7"/>
      <c r="S25" s="60"/>
      <c r="T25" s="60" t="s">
        <v>89</v>
      </c>
      <c r="U25" s="229">
        <v>200</v>
      </c>
      <c r="V25" s="67" t="s">
        <v>94</v>
      </c>
      <c r="W25" s="67"/>
      <c r="X25" s="10"/>
      <c r="Y25" s="216" t="s">
        <v>330</v>
      </c>
      <c r="Z25" s="36"/>
      <c r="AA25" s="10"/>
      <c r="AB25" s="10"/>
      <c r="AC25" s="36"/>
      <c r="AD25" s="36"/>
      <c r="AE25" s="36"/>
      <c r="AF25" s="189">
        <f>(AG24-INT(AG24))*$AG$5</f>
        <v>0</v>
      </c>
      <c r="AG25" s="47" t="str">
        <f>TEXT(TRUNC(ABS(AF24)),"#,##0")&amp;"'-"&amp;TEXT(TRUNC(AG24),"0")&amp;VLOOKUP(AF25,inches,3)</f>
        <v>0'-0"</v>
      </c>
      <c r="AH25" s="48" t="str">
        <f>IF(AF24=0,"0''",IF(AF24&lt;0,"-","")&amp;IF(TRUNC(ABS(AF24))=0,"",TEXT(TRUNC(ABS(AF24)),"#,##0")&amp;"'-")&amp;IF(AND(AF24&lt;1,AG24&lt;1),"",TEXT(TRUNC(AG24),"0"))&amp;VLOOKUP(AF25,inches,3))</f>
        <v>0''</v>
      </c>
      <c r="AI25" s="34"/>
      <c r="AJ25" s="45"/>
      <c r="AN25" s="3"/>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row>
    <row r="26" spans="1:98" ht="14.1" customHeight="1" x14ac:dyDescent="0.25">
      <c r="A26" s="13"/>
      <c r="B26" s="14"/>
      <c r="C26" s="122" t="str">
        <f>"Temporary "&amp;IF(Y12="Yes","Bridge","Detour")&amp;" Cost"</f>
        <v>Temporary Detour Cost</v>
      </c>
      <c r="D26" s="107"/>
      <c r="E26" s="107"/>
      <c r="F26" s="101"/>
      <c r="G26" s="101"/>
      <c r="H26" s="101"/>
      <c r="I26" s="101"/>
      <c r="J26" s="101"/>
      <c r="K26" s="101"/>
      <c r="L26" s="251">
        <f>IF(E13="none",0,IF(U34=0,"$   --------",U34))</f>
        <v>0</v>
      </c>
      <c r="M26" s="251"/>
      <c r="N26" s="123">
        <f>IF(R$24="off","",L26)</f>
        <v>0</v>
      </c>
      <c r="O26" s="32"/>
      <c r="P26" s="171"/>
      <c r="Q26" s="171"/>
      <c r="R26" s="127" t="s">
        <v>132</v>
      </c>
      <c r="S26" s="60"/>
      <c r="T26" s="60" t="s">
        <v>90</v>
      </c>
      <c r="U26" s="84">
        <v>20000</v>
      </c>
      <c r="V26" s="67" t="s">
        <v>95</v>
      </c>
      <c r="W26" s="67"/>
      <c r="X26" s="211" t="s">
        <v>331</v>
      </c>
      <c r="Y26" s="84"/>
      <c r="Z26" s="36"/>
      <c r="AA26" s="36"/>
      <c r="AB26" s="10"/>
      <c r="AC26" s="36"/>
      <c r="AD26" s="36"/>
      <c r="AE26" s="36"/>
      <c r="AF26" s="34" t="s">
        <v>85</v>
      </c>
      <c r="AG26" s="34"/>
      <c r="AH26" s="34"/>
      <c r="AI26" s="34"/>
      <c r="AJ26" s="45"/>
      <c r="AN26" s="3"/>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row>
    <row r="27" spans="1:98" ht="14.1" customHeight="1" x14ac:dyDescent="0.25">
      <c r="A27" s="13"/>
      <c r="B27" s="14"/>
      <c r="C27" s="122"/>
      <c r="D27" s="101"/>
      <c r="E27" s="107"/>
      <c r="F27" s="101"/>
      <c r="G27" s="101"/>
      <c r="H27" s="101"/>
      <c r="I27" s="101"/>
      <c r="J27" s="101"/>
      <c r="K27" s="118" t="s">
        <v>18</v>
      </c>
      <c r="L27" s="249">
        <f>SUM(L22:L26)</f>
        <v>0</v>
      </c>
      <c r="M27" s="249"/>
      <c r="N27" s="123">
        <f>IF(R24="off","",SUM(N22:N26))</f>
        <v>30000</v>
      </c>
      <c r="O27" s="32"/>
      <c r="P27" s="171"/>
      <c r="Q27" s="171"/>
      <c r="R27" s="7"/>
      <c r="S27" s="60"/>
      <c r="T27" s="60" t="s">
        <v>91</v>
      </c>
      <c r="U27" s="84">
        <v>10000</v>
      </c>
      <c r="V27" s="67" t="s">
        <v>95</v>
      </c>
      <c r="W27" s="67"/>
      <c r="X27" s="36"/>
      <c r="Y27" s="36"/>
      <c r="Z27" s="36"/>
      <c r="AA27" s="36"/>
      <c r="AB27" s="36"/>
      <c r="AC27" s="36"/>
      <c r="AD27" s="36"/>
      <c r="AE27" s="36"/>
      <c r="AF27" s="41">
        <f>Z19</f>
        <v>0</v>
      </c>
      <c r="AG27" s="159">
        <f>ROUND($AG$2*12*(AF27-INT(AF27)),0)/$AG$2</f>
        <v>0</v>
      </c>
      <c r="AH27" s="42"/>
      <c r="AI27" s="34"/>
      <c r="AJ27" s="45"/>
      <c r="AN27" s="3"/>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row>
    <row r="28" spans="1:98" ht="14.1" customHeight="1" x14ac:dyDescent="0.25">
      <c r="A28" s="13"/>
      <c r="B28" s="14"/>
      <c r="C28" s="122"/>
      <c r="D28" s="101"/>
      <c r="E28" s="101"/>
      <c r="F28" s="101"/>
      <c r="G28" s="101"/>
      <c r="H28" s="101"/>
      <c r="I28" s="101"/>
      <c r="J28" s="101"/>
      <c r="K28" s="101"/>
      <c r="N28" s="123"/>
      <c r="O28" s="32"/>
      <c r="P28" s="171"/>
      <c r="Q28" s="171"/>
      <c r="R28" s="7"/>
      <c r="S28" s="60"/>
      <c r="T28" s="60" t="s">
        <v>93</v>
      </c>
      <c r="U28" s="229">
        <v>200</v>
      </c>
      <c r="V28" s="67" t="s">
        <v>185</v>
      </c>
      <c r="W28" s="67"/>
      <c r="X28" s="211" t="s">
        <v>331</v>
      </c>
      <c r="Y28" s="84"/>
      <c r="Z28" s="36"/>
      <c r="AA28" s="36"/>
      <c r="AB28" s="36"/>
      <c r="AC28" s="36"/>
      <c r="AD28" s="36"/>
      <c r="AE28" s="36"/>
      <c r="AF28" s="189">
        <f>(AG27-INT(AG27))*$AG$5</f>
        <v>0</v>
      </c>
      <c r="AG28" s="47" t="str">
        <f>TEXT(TRUNC(ABS(AF27)),"#,##0")&amp;"'-"&amp;TEXT(TRUNC(AG27),"0")&amp;VLOOKUP(AF28,inches,3)</f>
        <v>0'-0"</v>
      </c>
      <c r="AH28" s="48" t="str">
        <f>IF(AF27=0,"0''",IF(AF27&lt;0,"-","")&amp;IF(TRUNC(ABS(AF27))=0,"",TEXT(TRUNC(ABS(AF27)),"#,##0")&amp;"'-")&amp;IF(AND(AF27&lt;1,AG27&lt;1),"",TEXT(TRUNC(AG27),"0"))&amp;VLOOKUP(AF28,inches,3))</f>
        <v>0''</v>
      </c>
      <c r="AI28" s="34"/>
      <c r="AJ28" s="45"/>
      <c r="AN28" s="3"/>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row>
    <row r="29" spans="1:98" ht="14.1" customHeight="1" x14ac:dyDescent="0.25">
      <c r="A29" s="13"/>
      <c r="B29" s="14"/>
      <c r="C29" s="122" t="s">
        <v>19</v>
      </c>
      <c r="D29" s="107"/>
      <c r="E29" s="107"/>
      <c r="F29" s="107"/>
      <c r="G29" s="101"/>
      <c r="H29" s="101"/>
      <c r="I29" s="101"/>
      <c r="J29" s="101"/>
      <c r="K29" s="101"/>
      <c r="L29" s="249">
        <f>CEILING(IF(ISBLANK(U35),ROUNDUP(L27*W35,T41),IF(U35=0,"$   --------",U35)),10000)</f>
        <v>0</v>
      </c>
      <c r="M29" s="249"/>
      <c r="N29" s="123">
        <f>IF(R24="off","",IF(ISBLANK(U35),L27*W35,IF(U35=0,"$   --------",U35)))</f>
        <v>0</v>
      </c>
      <c r="O29" s="32"/>
      <c r="P29" s="171"/>
      <c r="Q29" s="171"/>
      <c r="R29" s="7"/>
      <c r="S29" s="60"/>
      <c r="T29" s="60" t="s">
        <v>96</v>
      </c>
      <c r="U29" s="212">
        <v>0.08</v>
      </c>
      <c r="V29" s="36"/>
      <c r="W29" s="36"/>
      <c r="X29" s="36"/>
      <c r="Y29" s="36"/>
      <c r="Z29" s="36"/>
      <c r="AA29" s="36"/>
      <c r="AB29" s="36"/>
      <c r="AC29" s="36"/>
      <c r="AD29" s="36"/>
      <c r="AE29" s="36"/>
      <c r="AF29" s="34" t="s">
        <v>86</v>
      </c>
      <c r="AG29" s="34"/>
      <c r="AH29" s="34"/>
      <c r="AI29" s="34"/>
      <c r="AJ29" s="45"/>
      <c r="AN29" s="3"/>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row>
    <row r="30" spans="1:98" ht="14.1" customHeight="1" x14ac:dyDescent="0.25">
      <c r="A30" s="13"/>
      <c r="B30" s="14"/>
      <c r="C30" s="122" t="s">
        <v>20</v>
      </c>
      <c r="D30" s="107"/>
      <c r="E30" s="107"/>
      <c r="F30" s="107"/>
      <c r="G30" s="107"/>
      <c r="H30" s="107"/>
      <c r="I30" s="101"/>
      <c r="J30" s="101"/>
      <c r="K30" s="101"/>
      <c r="L30" s="249">
        <f>IF(E13="none",0,IF(U36=0,"$   --------",U36))</f>
        <v>0</v>
      </c>
      <c r="M30" s="249"/>
      <c r="N30" s="123">
        <f>IF(R$24="off","",L30)</f>
        <v>0</v>
      </c>
      <c r="O30" s="32"/>
      <c r="P30" s="171"/>
      <c r="Q30" s="171"/>
      <c r="R30" s="7"/>
      <c r="S30" s="7"/>
      <c r="T30" s="7"/>
      <c r="U30" s="7"/>
      <c r="V30" s="36"/>
      <c r="W30" s="36"/>
      <c r="X30" s="36"/>
      <c r="Y30" s="36"/>
      <c r="Z30" s="36"/>
      <c r="AA30" s="36"/>
      <c r="AB30" s="36"/>
      <c r="AC30" s="36"/>
      <c r="AD30" s="36"/>
      <c r="AE30" s="36"/>
      <c r="AF30" s="41">
        <f>Z20</f>
        <v>0</v>
      </c>
      <c r="AG30" s="159">
        <f>ROUND($AG$2*12*(AF30-INT(AF30)),0)/$AG$2</f>
        <v>0</v>
      </c>
      <c r="AH30" s="42"/>
      <c r="AI30" s="34"/>
      <c r="AJ30" s="45"/>
      <c r="AN30" s="3"/>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row>
    <row r="31" spans="1:98" ht="14.1" customHeight="1" x14ac:dyDescent="0.25">
      <c r="A31" s="13"/>
      <c r="B31" s="14"/>
      <c r="C31" s="122" t="s">
        <v>118</v>
      </c>
      <c r="D31" s="107"/>
      <c r="E31" s="107"/>
      <c r="F31" s="107"/>
      <c r="G31" s="107"/>
      <c r="H31" s="107"/>
      <c r="I31" s="101"/>
      <c r="J31" s="101"/>
      <c r="K31" s="101"/>
      <c r="L31" s="249">
        <f>IF(ISBLANK(U37),ROUNDUP(L27*W37,T41),IF(U37=0,"$   --------",U37))</f>
        <v>0</v>
      </c>
      <c r="M31" s="249"/>
      <c r="N31" s="123">
        <f>IF(R24="off","",IF(ISBLANK(U37),L27*W37,IF(U37=0,"$   --------",U37)))</f>
        <v>0</v>
      </c>
      <c r="O31" s="32"/>
      <c r="P31" s="171"/>
      <c r="Q31" s="171"/>
      <c r="R31" s="7"/>
      <c r="S31" s="7" t="s">
        <v>133</v>
      </c>
      <c r="T31" s="7"/>
      <c r="U31" s="7"/>
      <c r="V31" s="36"/>
      <c r="W31" s="36"/>
      <c r="X31" s="36"/>
      <c r="Y31" s="36"/>
      <c r="Z31" s="36"/>
      <c r="AA31" s="36"/>
      <c r="AB31" s="36"/>
      <c r="AC31" s="36"/>
      <c r="AD31" s="36"/>
      <c r="AE31" s="36"/>
      <c r="AF31" s="189">
        <f>(AG30-INT(AG30))*$AG$5</f>
        <v>0</v>
      </c>
      <c r="AG31" s="47" t="str">
        <f>TEXT(TRUNC(ABS(AF30)),"#,##0")&amp;"'-"&amp;TEXT(TRUNC(AG30),"0")&amp;VLOOKUP(AF31,inches,3)</f>
        <v>0'-0"</v>
      </c>
      <c r="AH31" s="48" t="str">
        <f>IF(AF30=0,"0''",IF(AF30&lt;0,"-","")&amp;IF(TRUNC(ABS(AF30))=0,"",TEXT(TRUNC(ABS(AF30)),"#,##0")&amp;"'-")&amp;IF(AND(AF30&lt;1,AG30&lt;1),"",TEXT(TRUNC(AG30),"0"))&amp;VLOOKUP(AF31,inches,3))</f>
        <v>0''</v>
      </c>
      <c r="AI31" s="34"/>
      <c r="AJ31" s="45"/>
      <c r="AN31" s="3"/>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row>
    <row r="32" spans="1:98" ht="14.1" customHeight="1" x14ac:dyDescent="0.25">
      <c r="A32" s="13"/>
      <c r="B32" s="14"/>
      <c r="C32" s="122" t="s">
        <v>21</v>
      </c>
      <c r="D32" s="107"/>
      <c r="E32" s="107"/>
      <c r="F32" s="107"/>
      <c r="G32" s="107"/>
      <c r="H32" s="107"/>
      <c r="I32" s="101"/>
      <c r="J32" s="101"/>
      <c r="K32" s="101"/>
      <c r="L32" s="251">
        <f>IF(E13="none",0,IF(U38=0,"$   --------",U38))</f>
        <v>0</v>
      </c>
      <c r="M32" s="251"/>
      <c r="N32" s="123">
        <f>IF(R$24="off","",L32)</f>
        <v>0</v>
      </c>
      <c r="O32" s="32"/>
      <c r="P32" s="171"/>
      <c r="Q32" s="171"/>
      <c r="R32" s="7"/>
      <c r="S32" s="36"/>
      <c r="T32" s="36"/>
      <c r="U32" s="59" t="s">
        <v>135</v>
      </c>
      <c r="V32" s="36"/>
      <c r="W32" s="255" t="s">
        <v>184</v>
      </c>
      <c r="X32" s="255"/>
      <c r="Y32" s="36"/>
      <c r="Z32" s="36"/>
      <c r="AA32" s="36"/>
      <c r="AB32" s="36"/>
      <c r="AC32" s="36"/>
      <c r="AD32" s="36"/>
      <c r="AE32" s="36"/>
      <c r="AF32" s="34" t="s">
        <v>87</v>
      </c>
      <c r="AG32" s="34"/>
      <c r="AH32" s="34"/>
      <c r="AI32" s="34"/>
      <c r="AJ32" s="45"/>
      <c r="AN32" s="3"/>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row>
    <row r="33" spans="1:98" ht="14.1" customHeight="1" x14ac:dyDescent="0.25">
      <c r="A33" s="13"/>
      <c r="B33" s="14"/>
      <c r="C33" s="101"/>
      <c r="D33" s="101"/>
      <c r="E33" s="107"/>
      <c r="F33" s="107"/>
      <c r="G33" s="107"/>
      <c r="H33" s="107"/>
      <c r="I33" s="107"/>
      <c r="J33" s="101"/>
      <c r="K33" s="118" t="s">
        <v>18</v>
      </c>
      <c r="L33" s="249">
        <f>SUM(L29:L32)</f>
        <v>0</v>
      </c>
      <c r="M33" s="249"/>
      <c r="N33" s="123">
        <f>IF(R$24="off","",SUM(N29:N32))</f>
        <v>0</v>
      </c>
      <c r="O33" s="32"/>
      <c r="P33" s="171"/>
      <c r="Q33" s="171"/>
      <c r="R33" s="7"/>
      <c r="S33" s="60"/>
      <c r="T33" s="60" t="s">
        <v>186</v>
      </c>
      <c r="U33" s="84"/>
      <c r="V33" s="133" t="s">
        <v>134</v>
      </c>
      <c r="W33" s="248">
        <v>0.05</v>
      </c>
      <c r="X33" s="248"/>
      <c r="Y33" s="36"/>
      <c r="Z33" s="36"/>
      <c r="AA33" s="36"/>
      <c r="AB33" s="36"/>
      <c r="AC33" s="36"/>
      <c r="AD33" s="36"/>
      <c r="AE33" s="36"/>
      <c r="AF33" s="41">
        <f>Z19+Z20</f>
        <v>0</v>
      </c>
      <c r="AG33" s="159">
        <f>ROUND($AG$2*12*(AF33-INT(AF33)),0)/$AG$2</f>
        <v>0</v>
      </c>
      <c r="AH33" s="42"/>
      <c r="AI33" s="34"/>
      <c r="AJ33" s="45"/>
      <c r="AN33" s="3"/>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row>
    <row r="34" spans="1:98" ht="14.1" customHeight="1" x14ac:dyDescent="0.25">
      <c r="A34" s="13"/>
      <c r="B34" s="14"/>
      <c r="C34" s="119" t="s">
        <v>116</v>
      </c>
      <c r="D34" s="119"/>
      <c r="E34" s="107"/>
      <c r="F34" s="107"/>
      <c r="G34" s="107"/>
      <c r="H34" s="107"/>
      <c r="I34" s="107"/>
      <c r="J34" s="107"/>
      <c r="K34" s="258">
        <f>L27+L33</f>
        <v>0</v>
      </c>
      <c r="L34" s="258"/>
      <c r="M34" s="258"/>
      <c r="N34" s="123">
        <f>IF(R$24="off","",N27+N33)</f>
        <v>30000</v>
      </c>
      <c r="O34" s="32"/>
      <c r="P34" s="171"/>
      <c r="Q34" s="171"/>
      <c r="R34" s="7"/>
      <c r="S34" s="60"/>
      <c r="T34" s="60" t="str">
        <f>C26&amp;" = "</f>
        <v xml:space="preserve">Temporary Detour Cost = </v>
      </c>
      <c r="U34" s="84"/>
      <c r="V34" s="132"/>
      <c r="W34" s="128"/>
      <c r="X34" s="36"/>
      <c r="Y34" s="13"/>
      <c r="Z34" s="13"/>
      <c r="AA34" s="13"/>
      <c r="AB34" s="13"/>
      <c r="AC34" s="13"/>
      <c r="AD34" s="36"/>
      <c r="AE34" s="36"/>
      <c r="AF34" s="189">
        <f>(AG33-INT(AG33))*$AG$5</f>
        <v>0</v>
      </c>
      <c r="AG34" s="47" t="str">
        <f>TEXT(TRUNC(ABS(AF33)),"#,##0")&amp;"'-"&amp;TEXT(TRUNC(AG33),"0")&amp;VLOOKUP(AF34,inches,3)</f>
        <v>0'-0"</v>
      </c>
      <c r="AH34" s="48" t="str">
        <f>IF(AF33=0,"0''",IF(AF33&lt;0,"-","")&amp;IF(TRUNC(ABS(AF33))=0,"",TEXT(TRUNC(ABS(AF33)),"#,##0")&amp;"'-")&amp;IF(AND(AF33&lt;1,AG33&lt;1),"",TEXT(TRUNC(AG33),"0"))&amp;VLOOKUP(AF34,inches,3))</f>
        <v>0''</v>
      </c>
      <c r="AI34" s="34"/>
      <c r="AJ34" s="45"/>
      <c r="AN34" s="3"/>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row>
    <row r="35" spans="1:98" ht="14.1" customHeight="1" x14ac:dyDescent="0.25">
      <c r="A35" s="13"/>
      <c r="B35" s="14"/>
      <c r="C35" s="101"/>
      <c r="D35" s="101"/>
      <c r="E35" s="101"/>
      <c r="F35" s="101"/>
      <c r="G35" s="101"/>
      <c r="H35" s="101"/>
      <c r="I35" s="101"/>
      <c r="J35" s="101"/>
      <c r="O35" s="32"/>
      <c r="P35" s="171"/>
      <c r="Q35" s="171"/>
      <c r="R35" s="7"/>
      <c r="S35" s="60"/>
      <c r="T35" s="60" t="s">
        <v>187</v>
      </c>
      <c r="U35" s="84"/>
      <c r="V35" s="133" t="s">
        <v>134</v>
      </c>
      <c r="W35" s="248">
        <v>0.15</v>
      </c>
      <c r="X35" s="248"/>
      <c r="Y35" s="13"/>
      <c r="Z35" s="13"/>
      <c r="AA35" s="13"/>
      <c r="AB35" s="13"/>
      <c r="AC35" s="13"/>
      <c r="AD35" s="36"/>
      <c r="AE35" s="36"/>
      <c r="AF35" s="34" t="str">
        <f>Y15</f>
        <v>Streambed to Finished Grade Hgt:</v>
      </c>
      <c r="AG35" s="34"/>
      <c r="AH35" s="34"/>
      <c r="AI35" s="34"/>
      <c r="AJ35" s="45"/>
      <c r="AN35" s="3"/>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row>
    <row r="36" spans="1:98" ht="14.1" customHeight="1" x14ac:dyDescent="0.25">
      <c r="A36" s="13"/>
      <c r="B36" s="14"/>
      <c r="C36" s="105" t="s">
        <v>92</v>
      </c>
      <c r="D36" s="105"/>
      <c r="E36" s="101"/>
      <c r="F36" s="101"/>
      <c r="G36" s="101"/>
      <c r="H36" s="101"/>
      <c r="I36" s="101"/>
      <c r="J36" s="101"/>
      <c r="N36" s="101"/>
      <c r="O36" s="32"/>
      <c r="P36" s="171"/>
      <c r="Q36" s="171"/>
      <c r="R36" s="13"/>
      <c r="S36" s="60"/>
      <c r="T36" s="60" t="s">
        <v>188</v>
      </c>
      <c r="U36" s="84"/>
      <c r="V36" s="132"/>
      <c r="W36" s="128"/>
      <c r="X36" s="13"/>
      <c r="Y36" s="13"/>
      <c r="Z36" s="13"/>
      <c r="AA36" s="13"/>
      <c r="AB36" s="13"/>
      <c r="AC36" s="13"/>
      <c r="AD36" s="13"/>
      <c r="AE36" s="36"/>
      <c r="AF36" s="41">
        <f>Z15</f>
        <v>0</v>
      </c>
      <c r="AG36" s="159">
        <f>ROUND($AG$2*12*(AF36-INT(AF36)),0)/$AG$2</f>
        <v>0</v>
      </c>
      <c r="AH36" s="42"/>
      <c r="AI36" s="34"/>
      <c r="AJ36" s="45"/>
      <c r="AN36" s="3"/>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row>
    <row r="37" spans="1:98" ht="14.1" customHeight="1" x14ac:dyDescent="0.25">
      <c r="A37" s="13"/>
      <c r="B37" s="14"/>
      <c r="K37" s="101"/>
      <c r="L37" s="101"/>
      <c r="M37" s="101"/>
      <c r="N37" s="101"/>
      <c r="O37" s="32"/>
      <c r="P37" s="171"/>
      <c r="Q37" s="171"/>
      <c r="R37" s="13"/>
      <c r="S37" s="60"/>
      <c r="T37" s="60" t="s">
        <v>189</v>
      </c>
      <c r="U37" s="84"/>
      <c r="V37" s="133" t="s">
        <v>134</v>
      </c>
      <c r="W37" s="248">
        <v>0.1</v>
      </c>
      <c r="X37" s="248"/>
      <c r="Y37" s="13"/>
      <c r="Z37" s="13"/>
      <c r="AA37" s="13"/>
      <c r="AB37" s="13"/>
      <c r="AC37" s="13"/>
      <c r="AD37" s="13"/>
      <c r="AE37" s="36"/>
      <c r="AF37" s="189">
        <f>(AG36-INT(AG36))*$AG$5</f>
        <v>0</v>
      </c>
      <c r="AG37" s="47" t="str">
        <f>TEXT(TRUNC(ABS(AF36)),"#,##0")&amp;"'-"&amp;TEXT(TRUNC(AG36),"0")&amp;VLOOKUP(AF37,inches,3)</f>
        <v>0'-0"</v>
      </c>
      <c r="AH37" s="48" t="str">
        <f>IF(AF36=0,"0''",IF(AF36&lt;0,"-","")&amp;IF(TRUNC(ABS(AF36))=0,"",TEXT(TRUNC(ABS(AF36)),"#,##0")&amp;"'-")&amp;IF(AND(AF36&lt;1,AG36&lt;1),"",TEXT(TRUNC(AG36),"0"))&amp;VLOOKUP(AF37,inches,3))</f>
        <v>0''</v>
      </c>
      <c r="AI37" s="34"/>
      <c r="AJ37" s="45"/>
      <c r="AN37" s="3"/>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row>
    <row r="38" spans="1:98" ht="14.1" customHeight="1" x14ac:dyDescent="0.25">
      <c r="A38" s="13"/>
      <c r="B38" s="14"/>
      <c r="C38" s="256" t="str">
        <f>IF(AF38="","",AE38&amp;". "&amp;AF38&amp;CHAR(10))&amp;
IF(AF39="","",AE39&amp;". "&amp;AF39&amp;CHAR(10))&amp;
IF(AF40="","",AE40&amp;". "&amp;AF40&amp;CHAR(10))&amp;
IF(AF41="","",AE41&amp;". "&amp;AF41&amp;CHAR(10))&amp;
IF(AF42="","",AE42&amp;". "&amp;AF42&amp;CHAR(10))</f>
        <v xml:space="preserve">1. This estimate is based on current estimated prices.  The Town should allow for cost increase due to inflation.
2. The required waterway area for the proposed bridge was estimated.  A Hydraulic Study has not been done.
3. A 1.25 factor for Phased Construction was incorporated into the Bridge Cost Estimate.
</v>
      </c>
      <c r="D38" s="256"/>
      <c r="E38" s="256"/>
      <c r="F38" s="256"/>
      <c r="G38" s="256"/>
      <c r="H38" s="256"/>
      <c r="I38" s="256"/>
      <c r="J38" s="256"/>
      <c r="K38" s="256"/>
      <c r="L38" s="256"/>
      <c r="M38" s="256"/>
      <c r="N38" s="256"/>
      <c r="O38" s="32"/>
      <c r="P38" s="171"/>
      <c r="Q38" s="171"/>
      <c r="R38" s="13"/>
      <c r="S38" s="60"/>
      <c r="T38" s="60" t="s">
        <v>190</v>
      </c>
      <c r="U38" s="84"/>
      <c r="V38" s="132"/>
      <c r="W38" s="13"/>
      <c r="X38" s="13"/>
      <c r="Y38" s="13"/>
      <c r="Z38" s="13"/>
      <c r="AA38" s="13"/>
      <c r="AB38" s="13"/>
      <c r="AC38" s="13"/>
      <c r="AD38" s="13"/>
      <c r="AE38" s="99">
        <v>1</v>
      </c>
      <c r="AF38" s="92" t="str">
        <f>IF(AE38&gt;MAX($A$61:$A$89),"",INDEX($D$61:$D$89,MATCH(AE38,$A$61:$A$89,0),1))</f>
        <v>This estimate is based on current estimated prices.  The Town should allow for cost increase due to inflation.</v>
      </c>
      <c r="AG38" s="40"/>
      <c r="AH38" s="40"/>
      <c r="AI38" s="40"/>
      <c r="AJ38" s="45"/>
      <c r="AN38" s="3"/>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row>
    <row r="39" spans="1:98" ht="14.1" customHeight="1" x14ac:dyDescent="0.25">
      <c r="A39" s="13"/>
      <c r="B39" s="14"/>
      <c r="C39" s="256"/>
      <c r="D39" s="256"/>
      <c r="E39" s="256"/>
      <c r="F39" s="256"/>
      <c r="G39" s="256"/>
      <c r="H39" s="256"/>
      <c r="I39" s="256"/>
      <c r="J39" s="256"/>
      <c r="K39" s="256"/>
      <c r="L39" s="256"/>
      <c r="M39" s="256"/>
      <c r="N39" s="256"/>
      <c r="O39" s="32"/>
      <c r="P39" s="171"/>
      <c r="Q39" s="171"/>
      <c r="R39" s="13"/>
      <c r="S39" s="13"/>
      <c r="T39" s="13"/>
      <c r="U39" s="13"/>
      <c r="V39" s="13"/>
      <c r="W39" s="13"/>
      <c r="X39" s="13"/>
      <c r="Y39" s="13"/>
      <c r="Z39" s="13"/>
      <c r="AA39" s="13"/>
      <c r="AB39" s="13"/>
      <c r="AC39" s="13"/>
      <c r="AD39" s="13"/>
      <c r="AE39" s="94">
        <v>2</v>
      </c>
      <c r="AF39" s="40" t="str">
        <f>IF(AE39&gt;MAX($A$61:$A$89),"",INDEX($D$61:$D$89,MATCH(AE39,$A$61:$A$89,0),1))</f>
        <v>The required waterway area for the proposed bridge was estimated.  A Hydraulic Study has not been done.</v>
      </c>
      <c r="AG39" s="40"/>
      <c r="AH39" s="40"/>
      <c r="AI39" s="40"/>
      <c r="AJ39" s="45"/>
      <c r="AN39" s="3"/>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row>
    <row r="40" spans="1:98" ht="14.1" customHeight="1" x14ac:dyDescent="0.25">
      <c r="A40" s="13"/>
      <c r="B40" s="14"/>
      <c r="C40" s="256"/>
      <c r="D40" s="256"/>
      <c r="E40" s="256"/>
      <c r="F40" s="256"/>
      <c r="G40" s="256"/>
      <c r="H40" s="256"/>
      <c r="I40" s="256"/>
      <c r="J40" s="256"/>
      <c r="K40" s="256"/>
      <c r="L40" s="256"/>
      <c r="M40" s="256"/>
      <c r="N40" s="256"/>
      <c r="O40" s="32"/>
      <c r="P40" s="171"/>
      <c r="Q40" s="171"/>
      <c r="R40" s="13"/>
      <c r="S40" s="13"/>
      <c r="T40" s="13"/>
      <c r="U40" s="13"/>
      <c r="V40" s="13"/>
      <c r="W40" s="13"/>
      <c r="X40" s="13"/>
      <c r="Y40" s="13"/>
      <c r="Z40" s="13"/>
      <c r="AA40" s="13"/>
      <c r="AB40" s="13"/>
      <c r="AC40" s="13"/>
      <c r="AD40" s="13"/>
      <c r="AE40" s="94">
        <v>3</v>
      </c>
      <c r="AF40" s="40" t="str">
        <f>IF(AE40&gt;MAX($A$61:$A$89),"",INDEX($D$61:$D$89,MATCH(AE40,$A$61:$A$89,0),1))</f>
        <v>A 1.25 factor for Phased Construction was incorporated into the Bridge Cost Estimate.</v>
      </c>
      <c r="AG40" s="40"/>
      <c r="AH40" s="40"/>
      <c r="AI40" s="40"/>
      <c r="AJ40" s="45"/>
      <c r="AN40" s="3"/>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row>
    <row r="41" spans="1:98" ht="14.1" customHeight="1" x14ac:dyDescent="0.25">
      <c r="A41" s="13"/>
      <c r="B41" s="14"/>
      <c r="C41" s="256"/>
      <c r="D41" s="256"/>
      <c r="E41" s="256"/>
      <c r="F41" s="256"/>
      <c r="G41" s="256"/>
      <c r="H41" s="256"/>
      <c r="I41" s="256"/>
      <c r="J41" s="256"/>
      <c r="K41" s="256"/>
      <c r="L41" s="256"/>
      <c r="M41" s="256"/>
      <c r="N41" s="256"/>
      <c r="O41" s="32"/>
      <c r="P41" s="171"/>
      <c r="Q41" s="171"/>
      <c r="R41" s="36" t="s">
        <v>97</v>
      </c>
      <c r="S41" s="36"/>
      <c r="T41" s="58">
        <v>-4</v>
      </c>
      <c r="U41" s="13"/>
      <c r="V41" s="13"/>
      <c r="W41" s="13"/>
      <c r="X41" s="13"/>
      <c r="Y41" s="13"/>
      <c r="Z41" s="13"/>
      <c r="AA41" s="13"/>
      <c r="AB41" s="13"/>
      <c r="AC41" s="13"/>
      <c r="AD41" s="13"/>
      <c r="AE41" s="94">
        <v>4</v>
      </c>
      <c r="AF41" s="40" t="str">
        <f>IF(AE41&gt;MAX($A$61:$A$89),"",INDEX($D$61:$D$89,MATCH(AE41,$A$61:$A$89,0),1))</f>
        <v/>
      </c>
      <c r="AG41" s="40"/>
      <c r="AH41" s="40"/>
      <c r="AI41" s="40"/>
      <c r="AJ41" s="45"/>
      <c r="AN41" s="3"/>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row>
    <row r="42" spans="1:98" ht="14.1" customHeight="1" x14ac:dyDescent="0.25">
      <c r="A42" s="13"/>
      <c r="B42" s="14"/>
      <c r="C42" s="257"/>
      <c r="D42" s="257"/>
      <c r="E42" s="257"/>
      <c r="F42" s="257"/>
      <c r="G42" s="257"/>
      <c r="H42" s="257"/>
      <c r="I42" s="257"/>
      <c r="J42" s="257"/>
      <c r="K42" s="257"/>
      <c r="L42" s="257"/>
      <c r="M42" s="257"/>
      <c r="N42" s="257"/>
      <c r="O42" s="32"/>
      <c r="P42" s="171"/>
      <c r="Q42" s="171"/>
      <c r="R42" s="13"/>
      <c r="S42" s="13"/>
      <c r="T42" s="13"/>
      <c r="U42" s="13"/>
      <c r="V42" s="13"/>
      <c r="W42" s="13"/>
      <c r="X42" s="13"/>
      <c r="Y42" s="13"/>
      <c r="Z42" s="13"/>
      <c r="AA42" s="13"/>
      <c r="AB42" s="13"/>
      <c r="AC42" s="13"/>
      <c r="AD42" s="13"/>
      <c r="AE42" s="95">
        <v>5</v>
      </c>
      <c r="AF42" s="96" t="str">
        <f>IF(AE42&gt;MAX($A$61:$A$89),"",INDEX($D$61:$D$89,MATCH(AE42,$A$61:$A$89,0),1))</f>
        <v/>
      </c>
      <c r="AG42" s="40"/>
      <c r="AH42" s="40"/>
      <c r="AI42" s="40"/>
      <c r="AJ42" s="45"/>
      <c r="AN42" s="3"/>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row>
    <row r="43" spans="1:98" ht="14.1" customHeight="1" x14ac:dyDescent="0.25">
      <c r="A43" s="13"/>
      <c r="B43" s="14"/>
      <c r="C43" s="167"/>
      <c r="D43" s="167"/>
      <c r="E43" s="167"/>
      <c r="F43" s="167"/>
      <c r="G43" s="167"/>
      <c r="H43" s="167"/>
      <c r="I43" s="167"/>
      <c r="J43" s="167"/>
      <c r="K43" s="167"/>
      <c r="L43" s="167"/>
      <c r="M43" s="167"/>
      <c r="N43" s="167"/>
      <c r="O43" s="32"/>
      <c r="P43" s="7"/>
      <c r="Q43" s="7"/>
      <c r="R43" s="7"/>
      <c r="S43" s="7"/>
      <c r="T43" s="36"/>
      <c r="U43" s="36"/>
      <c r="V43" s="36"/>
      <c r="W43" s="36"/>
      <c r="X43" s="36"/>
      <c r="Y43" s="36"/>
      <c r="Z43" s="36"/>
      <c r="AA43" s="13"/>
      <c r="AB43" s="13"/>
      <c r="AC43" s="13"/>
      <c r="AD43" s="13"/>
      <c r="AE43" s="36"/>
      <c r="AF43" s="40"/>
      <c r="AG43" s="40"/>
      <c r="AH43" s="40"/>
      <c r="AI43" s="40"/>
      <c r="AJ43" s="45"/>
      <c r="AN43" s="3"/>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row>
    <row r="44" spans="1:98" ht="14.1" customHeight="1" x14ac:dyDescent="0.25">
      <c r="A44" s="13"/>
      <c r="B44" s="14"/>
      <c r="C44" s="167"/>
      <c r="D44" s="167"/>
      <c r="E44" s="167"/>
      <c r="F44" s="167"/>
      <c r="G44" s="167"/>
      <c r="H44" s="167"/>
      <c r="I44" s="167"/>
      <c r="J44" s="167"/>
      <c r="K44" s="167"/>
      <c r="L44" s="167"/>
      <c r="M44" s="167"/>
      <c r="N44" s="167"/>
      <c r="O44" s="32"/>
      <c r="P44" s="36"/>
      <c r="Q44" s="36"/>
      <c r="R44" s="36"/>
      <c r="S44" s="36"/>
      <c r="T44" s="36"/>
      <c r="U44" s="36"/>
      <c r="V44" s="36"/>
      <c r="W44" s="36"/>
      <c r="X44" s="36"/>
      <c r="Y44" s="36"/>
      <c r="Z44" s="36"/>
      <c r="AA44" s="13"/>
      <c r="AB44" s="13"/>
      <c r="AC44" s="13"/>
      <c r="AD44" s="13"/>
      <c r="AE44" s="36"/>
      <c r="AF44" s="40"/>
      <c r="AG44" s="40"/>
      <c r="AH44" s="40"/>
      <c r="AI44" s="40"/>
      <c r="AJ44" s="45"/>
      <c r="AN44" s="3"/>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row>
    <row r="45" spans="1:98" ht="14.1" customHeight="1" x14ac:dyDescent="0.25">
      <c r="A45" s="13"/>
      <c r="B45" s="14"/>
      <c r="C45" s="167"/>
      <c r="D45" s="167"/>
      <c r="E45" s="167"/>
      <c r="F45" s="167"/>
      <c r="G45" s="167"/>
      <c r="H45" s="167"/>
      <c r="I45" s="167"/>
      <c r="J45" s="167"/>
      <c r="K45" s="167"/>
      <c r="L45" s="167"/>
      <c r="M45" s="167"/>
      <c r="N45" s="167"/>
      <c r="O45" s="32"/>
      <c r="P45" s="36"/>
      <c r="Q45" s="36"/>
      <c r="R45" s="36"/>
      <c r="S45" s="36"/>
      <c r="T45" s="36"/>
      <c r="U45" s="36"/>
      <c r="V45" s="36"/>
      <c r="W45" s="36"/>
      <c r="X45" s="36"/>
      <c r="Y45" s="36"/>
      <c r="Z45" s="36"/>
      <c r="AA45" s="13"/>
      <c r="AB45" s="13"/>
      <c r="AC45" s="13"/>
      <c r="AD45" s="13"/>
      <c r="AE45" s="36"/>
      <c r="AF45" s="40"/>
      <c r="AG45" s="40"/>
      <c r="AH45" s="40"/>
      <c r="AI45" s="40"/>
      <c r="AJ45" s="45"/>
      <c r="AN45" s="3"/>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row>
    <row r="46" spans="1:98" ht="14.1" customHeight="1" x14ac:dyDescent="0.25">
      <c r="A46" s="13"/>
      <c r="B46" s="14"/>
      <c r="C46" s="167"/>
      <c r="D46" s="167"/>
      <c r="E46" s="167"/>
      <c r="F46" s="167"/>
      <c r="G46" s="167"/>
      <c r="H46" s="167"/>
      <c r="I46" s="167"/>
      <c r="J46" s="167"/>
      <c r="K46" s="167"/>
      <c r="L46" s="167"/>
      <c r="M46" s="167"/>
      <c r="N46" s="167"/>
      <c r="O46" s="32"/>
      <c r="P46" s="36"/>
      <c r="Q46" s="36"/>
      <c r="R46" s="36"/>
      <c r="S46" s="36"/>
      <c r="T46" s="36"/>
      <c r="U46" s="36"/>
      <c r="V46" s="36"/>
      <c r="W46" s="36"/>
      <c r="X46" s="36"/>
      <c r="Y46" s="36"/>
      <c r="Z46" s="36"/>
      <c r="AA46" s="13"/>
      <c r="AB46" s="13"/>
      <c r="AC46" s="13"/>
      <c r="AD46" s="13"/>
      <c r="AE46" s="36"/>
      <c r="AF46" s="40"/>
      <c r="AG46" s="40"/>
      <c r="AH46" s="40"/>
      <c r="AI46" s="40"/>
      <c r="AJ46" s="45"/>
      <c r="AN46" s="3"/>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row>
    <row r="47" spans="1:98" ht="14.1" customHeight="1" x14ac:dyDescent="0.25">
      <c r="A47" s="13"/>
      <c r="B47" s="14"/>
      <c r="C47" s="167"/>
      <c r="D47" s="167"/>
      <c r="E47" s="167"/>
      <c r="F47" s="167"/>
      <c r="G47" s="167"/>
      <c r="H47" s="167"/>
      <c r="I47" s="167"/>
      <c r="J47" s="167"/>
      <c r="K47" s="167"/>
      <c r="L47" s="167"/>
      <c r="M47" s="167"/>
      <c r="N47" s="167"/>
      <c r="O47" s="32"/>
      <c r="P47" s="36"/>
      <c r="Q47" s="36"/>
      <c r="R47" s="36"/>
      <c r="S47" s="36"/>
      <c r="T47" s="36"/>
      <c r="U47" s="36"/>
      <c r="V47" s="36"/>
      <c r="W47" s="36"/>
      <c r="X47" s="36"/>
      <c r="Y47" s="36"/>
      <c r="Z47" s="36"/>
      <c r="AA47" s="13"/>
      <c r="AB47" s="13"/>
      <c r="AC47" s="13"/>
      <c r="AD47" s="13"/>
      <c r="AE47" s="36"/>
      <c r="AF47" s="40"/>
      <c r="AG47" s="40"/>
      <c r="AH47" s="40"/>
      <c r="AI47" s="40"/>
      <c r="AJ47" s="45"/>
      <c r="AN47" s="3"/>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row>
    <row r="48" spans="1:98" ht="14.1" customHeight="1" x14ac:dyDescent="0.25">
      <c r="A48" s="13"/>
      <c r="B48" s="14"/>
      <c r="C48" s="167"/>
      <c r="D48" s="167"/>
      <c r="E48" s="167"/>
      <c r="F48" s="167"/>
      <c r="G48" s="167"/>
      <c r="H48" s="167"/>
      <c r="I48" s="167"/>
      <c r="J48" s="167"/>
      <c r="K48" s="167"/>
      <c r="L48" s="167"/>
      <c r="M48" s="167"/>
      <c r="N48" s="167"/>
      <c r="O48" s="32"/>
      <c r="P48" s="36"/>
      <c r="Q48" s="36"/>
      <c r="R48" s="36"/>
      <c r="S48" s="36"/>
      <c r="T48" s="36"/>
      <c r="U48" s="36"/>
      <c r="V48" s="36"/>
      <c r="W48" s="36"/>
      <c r="X48" s="36"/>
      <c r="Y48" s="36"/>
      <c r="Z48" s="36"/>
      <c r="AA48" s="13"/>
      <c r="AB48" s="13"/>
      <c r="AC48" s="13"/>
      <c r="AD48" s="13"/>
      <c r="AE48" s="36"/>
      <c r="AF48" s="40"/>
      <c r="AG48" s="40"/>
      <c r="AH48" s="40"/>
      <c r="AI48" s="40"/>
      <c r="AJ48" s="45"/>
      <c r="AN48" s="3"/>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row>
    <row r="49" spans="1:98" ht="14.1" customHeight="1" x14ac:dyDescent="0.25">
      <c r="A49" s="13"/>
      <c r="B49" s="14"/>
      <c r="C49" s="167"/>
      <c r="D49" s="167"/>
      <c r="E49" s="167"/>
      <c r="F49" s="167"/>
      <c r="G49" s="167"/>
      <c r="H49" s="167"/>
      <c r="I49" s="167"/>
      <c r="J49" s="167"/>
      <c r="K49" s="167"/>
      <c r="L49" s="167"/>
      <c r="M49" s="167"/>
      <c r="N49" s="167"/>
      <c r="O49" s="32"/>
      <c r="P49" s="36"/>
      <c r="Q49" s="36"/>
      <c r="R49" s="36"/>
      <c r="S49" s="36"/>
      <c r="T49" s="36"/>
      <c r="U49" s="36"/>
      <c r="V49" s="36"/>
      <c r="W49" s="36"/>
      <c r="X49" s="36"/>
      <c r="Y49" s="36"/>
      <c r="Z49" s="36"/>
      <c r="AA49" s="13"/>
      <c r="AB49" s="13"/>
      <c r="AC49" s="13"/>
      <c r="AD49" s="13"/>
      <c r="AE49" s="36"/>
      <c r="AF49" s="66" t="s">
        <v>170</v>
      </c>
      <c r="AG49" s="36"/>
      <c r="AH49" s="36"/>
      <c r="AI49" s="36"/>
      <c r="AJ49" s="45"/>
      <c r="AN49" s="3"/>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row>
    <row r="50" spans="1:98" ht="14.1" customHeight="1" x14ac:dyDescent="0.25">
      <c r="A50" s="13"/>
      <c r="B50" s="14"/>
      <c r="C50" s="167"/>
      <c r="D50" s="167"/>
      <c r="E50" s="167"/>
      <c r="F50" s="167"/>
      <c r="G50" s="167"/>
      <c r="H50" s="167"/>
      <c r="I50" s="167"/>
      <c r="J50" s="167"/>
      <c r="K50" s="167"/>
      <c r="L50" s="167"/>
      <c r="M50" s="167"/>
      <c r="N50" s="167"/>
      <c r="O50" s="32"/>
      <c r="P50" s="36"/>
      <c r="Q50" s="36"/>
      <c r="R50" s="36"/>
      <c r="S50" s="142" t="s">
        <v>17</v>
      </c>
      <c r="T50" s="92"/>
      <c r="U50" s="92"/>
      <c r="V50" s="92"/>
      <c r="W50" s="92"/>
      <c r="X50" s="92"/>
      <c r="Y50" s="92"/>
      <c r="Z50" s="143" t="s">
        <v>61</v>
      </c>
      <c r="AA50" s="92"/>
      <c r="AB50" s="92"/>
      <c r="AC50" s="92"/>
      <c r="AD50" s="78"/>
      <c r="AE50" s="90">
        <f>IF(AF50="",AE49,AE49+1)</f>
        <v>1</v>
      </c>
      <c r="AF50" s="91" t="str">
        <f>IF(OR(E13="Rehabilitate Existing Bridge",E13="Rehabilitate Existing Bridge (2)"),"",IF(Y16&lt;Y53,"***  Proposed FOR to FOR width = "&amp;Y16&amp;"'.  Existing Bridge width = "&amp;Y53&amp;"'.  Check Input!  ***",""))</f>
        <v>***  Proposed FOR to FOR width = '.  Existing Bridge width = 25'.  Check Input!  ***</v>
      </c>
      <c r="AG50" s="92"/>
      <c r="AH50" s="92"/>
      <c r="AI50" s="78"/>
      <c r="AJ50" s="45"/>
      <c r="AN50" s="3"/>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row>
    <row r="51" spans="1:98" ht="14.1" customHeight="1" x14ac:dyDescent="0.25">
      <c r="A51" s="13"/>
      <c r="B51" s="14"/>
      <c r="C51" s="167"/>
      <c r="D51" s="167"/>
      <c r="E51" s="167"/>
      <c r="F51" s="167"/>
      <c r="G51" s="167"/>
      <c r="H51" s="167"/>
      <c r="I51" s="167"/>
      <c r="J51" s="167"/>
      <c r="K51" s="167"/>
      <c r="L51" s="167"/>
      <c r="M51" s="167"/>
      <c r="N51" s="167"/>
      <c r="O51" s="32"/>
      <c r="P51" s="36"/>
      <c r="Q51" s="36"/>
      <c r="R51" s="36"/>
      <c r="S51" s="182" t="s">
        <v>34</v>
      </c>
      <c r="T51" s="144"/>
      <c r="U51" s="144">
        <f>IF(ISBLANK('Estimate Pg 1'!R17),"",'Estimate Pg 1'!R17)</f>
        <v>1938</v>
      </c>
      <c r="V51" s="40" t="s">
        <v>164</v>
      </c>
      <c r="W51" s="145" t="str">
        <f>IF(ISBLANK('Estimate Pg 1'!T17),"",'Estimate Pg 1'!T17)</f>
        <v/>
      </c>
      <c r="X51" s="140" t="s">
        <v>113</v>
      </c>
      <c r="Y51" s="144">
        <f>IF(ISBLANK('Estimate Pg 1'!X17),"",'Estimate Pg 1'!X17)</f>
        <v>14</v>
      </c>
      <c r="Z51" s="144" t="str">
        <f>IF(ISBLANK('Estimate Pg 1'!Y17),"",'Estimate Pg 1'!Y17)</f>
        <v/>
      </c>
      <c r="AA51" s="146"/>
      <c r="AB51" s="164" t="s">
        <v>119</v>
      </c>
      <c r="AC51" s="260" t="str">
        <f>IF(ISBLANK('Estimate Pg 1'!AB17),"",'Estimate Pg 1'!AB17)</f>
        <v>Substandard</v>
      </c>
      <c r="AD51" s="261"/>
      <c r="AE51" s="93">
        <f>IF(AF51="",AE50,AE50+1)</f>
        <v>1</v>
      </c>
      <c r="AF51" s="86" t="str">
        <f>IF(AND(AC54="None Available",OR(ISNUMBER(AC55),ISNUMBER(AC56))),"***  Hydraulic Data = "&amp;AC54&amp;" and Q value(s) &gt; 0.  Check Input!  ***",IF(AND(OR(AC54="FEMA",AC54="FIRM 2006"),AND(AC55="-----",AC56="-----")),IF(AF50="","1.","2. ")&amp;"***  Hydraulic Data = "&amp;AC54&amp;" and Q value(s) = 0.  Check Input!  ***",""))</f>
        <v/>
      </c>
      <c r="AG51" s="40"/>
      <c r="AH51" s="40"/>
      <c r="AI51" s="74"/>
      <c r="AJ51" s="45"/>
      <c r="AN51" s="3"/>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row>
    <row r="52" spans="1:98" ht="14.1" customHeight="1" x14ac:dyDescent="0.25">
      <c r="A52" s="13"/>
      <c r="B52" s="14"/>
      <c r="C52" s="167"/>
      <c r="D52" s="167"/>
      <c r="E52" s="167"/>
      <c r="F52" s="167"/>
      <c r="G52" s="167"/>
      <c r="H52" s="167"/>
      <c r="I52" s="167"/>
      <c r="J52" s="167"/>
      <c r="K52" s="167"/>
      <c r="L52" s="167"/>
      <c r="M52" s="167"/>
      <c r="N52" s="167"/>
      <c r="O52" s="32"/>
      <c r="P52" s="36"/>
      <c r="Q52" s="36"/>
      <c r="R52" s="36"/>
      <c r="S52" s="182" t="s">
        <v>22</v>
      </c>
      <c r="T52" s="147"/>
      <c r="U52" s="147" t="str">
        <f>IF(ISBLANK('Estimate Pg 1'!R18),"",'Estimate Pg 1'!R18)</f>
        <v>Concrete Slab</v>
      </c>
      <c r="V52" s="40"/>
      <c r="W52" s="40"/>
      <c r="X52" s="140"/>
      <c r="Y52" s="148" t="s">
        <v>50</v>
      </c>
      <c r="Z52" s="148" t="s">
        <v>54</v>
      </c>
      <c r="AA52" s="148" t="s">
        <v>61</v>
      </c>
      <c r="AB52" s="164" t="s">
        <v>31</v>
      </c>
      <c r="AC52" s="260" t="str">
        <f>IF(ISBLANK('Estimate Pg 1'!AB18),"",'Estimate Pg 1'!AB18)</f>
        <v>Aerial utilites pass parallel to bridge along E. Fascia</v>
      </c>
      <c r="AD52" s="261"/>
      <c r="AE52" s="93">
        <f>IF(AF52="",AE51,AE51+1)</f>
        <v>1</v>
      </c>
      <c r="AF52" s="86" t="str">
        <f>IF(OR(E13="Rehabilitate Existing Bridge",E13="Rehabilitate Existing Bridge (2)"),"",IF(AND(ISBLANK(Waterway2),ISBLANK(Hydraulic_Data)),"",IF(OR(Waterway2="n/a",Hydraulic_Data="n/a"),"",IF(OR(AND(Hydraulic_Data="n/a",Waterway2="No"),AND(Hydraulic_Data&lt;&gt;"n/a",Waterway2="Yes")),"","*** Hydraulic Data "&amp;IF(AND(Hydraulic_Data&lt;&gt;"n/a",Waterway2="No"),"Does Not Indicate","Indicates")&amp;" ''n/a'' and Waterway Input Indicates ''"&amp;Waterway&amp;"''!  This is Inconsistent!  Check! ***"))))</f>
        <v/>
      </c>
      <c r="AG52" s="40"/>
      <c r="AH52" s="40"/>
      <c r="AI52" s="74"/>
      <c r="AJ52" s="45"/>
      <c r="AN52" s="3"/>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row>
    <row r="53" spans="1:98" ht="14.1" customHeight="1" x14ac:dyDescent="0.25">
      <c r="A53" s="13"/>
      <c r="B53" s="14"/>
      <c r="C53" s="167"/>
      <c r="D53" s="167"/>
      <c r="E53" s="167"/>
      <c r="F53" s="167"/>
      <c r="G53" s="167"/>
      <c r="H53" s="167"/>
      <c r="I53" s="167"/>
      <c r="J53" s="167"/>
      <c r="K53" s="167"/>
      <c r="L53" s="167"/>
      <c r="M53" s="167"/>
      <c r="N53" s="167"/>
      <c r="O53" s="32"/>
      <c r="P53" s="36"/>
      <c r="Q53" s="13"/>
      <c r="R53" s="13"/>
      <c r="S53" s="182" t="s">
        <v>32</v>
      </c>
      <c r="T53" s="141"/>
      <c r="U53" s="141" t="s">
        <v>37</v>
      </c>
      <c r="V53" s="141" t="s">
        <v>38</v>
      </c>
      <c r="W53" s="141" t="s">
        <v>39</v>
      </c>
      <c r="X53" s="140" t="s">
        <v>110</v>
      </c>
      <c r="Y53" s="144">
        <f>IF(ISBLANK('Estimate Pg 1'!X19),"",'Estimate Pg 1'!X19)</f>
        <v>25</v>
      </c>
      <c r="Z53" s="144" t="str">
        <f>IF(ISBLANK('Estimate Pg 1'!Y19),"",'Estimate Pg 1'!Y19)</f>
        <v/>
      </c>
      <c r="AA53" s="147" t="str">
        <f>IF(ISBLANK('Estimate Pg 1'!Z19),"",'Estimate Pg 1'!Z19)</f>
        <v/>
      </c>
      <c r="AB53" s="40"/>
      <c r="AC53" s="40"/>
      <c r="AD53" s="74"/>
      <c r="AE53" s="93">
        <f>IF(AF53="",AE52,AE52+1)</f>
        <v>1</v>
      </c>
      <c r="AF53" s="87" t="str">
        <f>IF(AND(ISBLANK(U55),ISBLANK(W55)),"",IF(AND(U55&gt;0,ISBLANK(W55)),"*** Future ADT Traffic Count = ''"&amp;U55&amp;"'' and Future ADT Year Indicates ''"&amp;W55&amp;"''!  Input Correction Required! ***",""))</f>
        <v/>
      </c>
      <c r="AG53" s="40"/>
      <c r="AH53" s="40"/>
      <c r="AI53" s="74"/>
      <c r="AJ53" s="45"/>
      <c r="AN53" s="3"/>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row>
    <row r="54" spans="1:98" ht="14.1" customHeight="1" x14ac:dyDescent="0.25">
      <c r="A54" s="13"/>
      <c r="B54" s="14"/>
      <c r="C54" s="167"/>
      <c r="D54" s="167"/>
      <c r="E54" s="167"/>
      <c r="F54" s="167"/>
      <c r="G54" s="167"/>
      <c r="H54" s="167"/>
      <c r="I54" s="167"/>
      <c r="J54" s="167"/>
      <c r="K54" s="167"/>
      <c r="L54" s="167"/>
      <c r="M54" s="167"/>
      <c r="N54" s="167"/>
      <c r="O54" s="32"/>
      <c r="P54" s="36"/>
      <c r="Q54" s="13"/>
      <c r="R54" s="13"/>
      <c r="S54" s="183" t="s">
        <v>40</v>
      </c>
      <c r="T54" s="149"/>
      <c r="U54" s="149">
        <f>IF(ISBLANK('Estimate Pg 1'!R20),"",'Estimate Pg 1'!R20)</f>
        <v>1400</v>
      </c>
      <c r="V54" s="150">
        <f>IF(ISBLANK('Estimate Pg 1'!S20),"",'Estimate Pg 1'!S20)</f>
        <v>0.1</v>
      </c>
      <c r="W54" s="151">
        <f>IF(ISBLANK('Estimate Pg 1'!T20),"",'Estimate Pg 1'!T20)</f>
        <v>2012</v>
      </c>
      <c r="X54" s="140" t="s">
        <v>55</v>
      </c>
      <c r="Y54" s="144">
        <f>IF(ISBLANK('Estimate Pg 1'!X20),0,'Estimate Pg 1'!X20)</f>
        <v>30</v>
      </c>
      <c r="Z54" s="146" t="s">
        <v>56</v>
      </c>
      <c r="AA54" s="146"/>
      <c r="AB54" s="40" t="s">
        <v>30</v>
      </c>
      <c r="AC54" s="147" t="str">
        <f>IF(ISBLANK('Estimate Pg 1'!AB20),"",'Estimate Pg 1'!AB20)</f>
        <v>Stream Stats</v>
      </c>
      <c r="AD54" s="74"/>
      <c r="AE54" s="94" t="s">
        <v>137</v>
      </c>
      <c r="AF54" s="40"/>
      <c r="AG54" s="40"/>
      <c r="AH54" s="40"/>
      <c r="AI54" s="74"/>
      <c r="AJ54" s="45"/>
      <c r="AN54" s="3"/>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row>
    <row r="55" spans="1:98" ht="14.1" customHeight="1" x14ac:dyDescent="0.3">
      <c r="A55" s="13"/>
      <c r="B55" s="14"/>
      <c r="C55" s="167"/>
      <c r="D55" s="167"/>
      <c r="E55" s="167"/>
      <c r="F55" s="167"/>
      <c r="G55" s="167"/>
      <c r="H55" s="167"/>
      <c r="I55" s="167"/>
      <c r="J55" s="167"/>
      <c r="K55" s="167"/>
      <c r="L55" s="167"/>
      <c r="M55" s="167"/>
      <c r="N55" s="167"/>
      <c r="O55" s="32"/>
      <c r="P55" s="36"/>
      <c r="Q55" s="13"/>
      <c r="R55" s="13"/>
      <c r="S55" s="183" t="s">
        <v>41</v>
      </c>
      <c r="T55" s="149"/>
      <c r="U55" s="149">
        <f>IF(ISBLANK('Estimate Pg 1'!R21),"",'Estimate Pg 1'!R21)</f>
        <v>2072</v>
      </c>
      <c r="V55" s="150">
        <f>IF(ISBLANK('Estimate Pg 1'!S21),"",'Estimate Pg 1'!S21)</f>
        <v>0.1</v>
      </c>
      <c r="W55" s="151">
        <f>IF(ISBLANK('Estimate Pg 1'!T21),"",'Estimate Pg 1'!T21)</f>
        <v>2032</v>
      </c>
      <c r="X55" s="140"/>
      <c r="Y55" s="40" t="s">
        <v>45</v>
      </c>
      <c r="Z55" s="141" t="s">
        <v>53</v>
      </c>
      <c r="AA55" s="40"/>
      <c r="AB55" s="164" t="s">
        <v>172</v>
      </c>
      <c r="AC55" s="262">
        <f>IF(ISBLANK('Estimate Pg 1'!AB21),"",'Estimate Pg 1'!AB21)</f>
        <v>231</v>
      </c>
      <c r="AD55" s="263"/>
      <c r="AE55" s="94">
        <v>1</v>
      </c>
      <c r="AF55" s="40" t="str">
        <f>IF(AE55&gt;MAX($AE$50:$AE$53),"",INDEX($AF$50:$AF$53,MATCH(AE55,$AE$50:$AE$53,0),1))</f>
        <v>***  Proposed FOR to FOR width = '.  Existing Bridge width = 25'.  Check Input!  ***</v>
      </c>
      <c r="AG55" s="40"/>
      <c r="AH55" s="40"/>
      <c r="AI55" s="74"/>
      <c r="AJ55" s="45"/>
      <c r="AN55" s="3"/>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row>
    <row r="56" spans="1:98" ht="14.1" customHeight="1" x14ac:dyDescent="0.3">
      <c r="A56" s="13"/>
      <c r="B56" s="14"/>
      <c r="C56" s="167"/>
      <c r="D56" s="167"/>
      <c r="E56" s="167"/>
      <c r="F56" s="167"/>
      <c r="G56" s="167"/>
      <c r="H56" s="167"/>
      <c r="I56" s="167"/>
      <c r="J56" s="167"/>
      <c r="K56" s="167"/>
      <c r="L56" s="167"/>
      <c r="M56" s="167"/>
      <c r="N56" s="167"/>
      <c r="O56" s="32"/>
      <c r="P56" s="36"/>
      <c r="Q56" s="13"/>
      <c r="R56" s="13"/>
      <c r="S56" s="182" t="s">
        <v>33</v>
      </c>
      <c r="T56" s="152"/>
      <c r="U56" s="152">
        <f>IF(ISBLANK('Estimate Pg 1'!R22),"",'Estimate Pg 1'!R22)</f>
        <v>3.3</v>
      </c>
      <c r="V56" s="40" t="s">
        <v>109</v>
      </c>
      <c r="W56" s="144" t="str">
        <f>IF(ISBLANK('Estimate Pg 1'!T22),"",'Estimate Pg 1'!T22)</f>
        <v/>
      </c>
      <c r="X56" s="140" t="s">
        <v>28</v>
      </c>
      <c r="Y56" s="147" t="str">
        <f>IF(ISBLANK('Estimate Pg 1'!X23),"",'Estimate Pg 1'!X23)</f>
        <v>E2</v>
      </c>
      <c r="Z56" s="144" t="str">
        <f>IF(ISBLANK('Estimate Pg 1'!Y23),"",'Estimate Pg 1'!Y23)</f>
        <v/>
      </c>
      <c r="AA56" s="40"/>
      <c r="AB56" s="164" t="s">
        <v>173</v>
      </c>
      <c r="AC56" s="262">
        <f>IF(ISBLANK('Estimate Pg 1'!AB22),"",'Estimate Pg 1'!AB22)</f>
        <v>284</v>
      </c>
      <c r="AD56" s="263"/>
      <c r="AE56" s="94">
        <v>2</v>
      </c>
      <c r="AF56" s="40" t="str">
        <f>IF(AE56&gt;MAX($AE$50:$AE$53),"",INDEX($AF$50:$AF$53,MATCH(AE56,$AE$50:$AE$53,0),1))</f>
        <v/>
      </c>
      <c r="AG56" s="40"/>
      <c r="AH56" s="40"/>
      <c r="AI56" s="74"/>
      <c r="AJ56" s="45"/>
      <c r="AN56" s="3"/>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row>
    <row r="57" spans="1:98" ht="14.1" customHeight="1" x14ac:dyDescent="0.25">
      <c r="A57" s="13"/>
      <c r="B57" s="14"/>
      <c r="C57" s="167"/>
      <c r="D57" s="167"/>
      <c r="E57" s="167"/>
      <c r="F57" s="167"/>
      <c r="G57" s="167"/>
      <c r="H57" s="167"/>
      <c r="I57" s="167"/>
      <c r="J57" s="167"/>
      <c r="K57" s="167"/>
      <c r="L57" s="167"/>
      <c r="M57" s="167"/>
      <c r="N57" s="167"/>
      <c r="O57" s="32"/>
      <c r="P57" s="36"/>
      <c r="Q57" s="13"/>
      <c r="R57" s="13"/>
      <c r="S57" s="182" t="s">
        <v>29</v>
      </c>
      <c r="T57" s="147"/>
      <c r="U57" s="147" t="str">
        <f>IF(ISBLANK('Estimate Pg 1'!R23),"",'Estimate Pg 1'!R23)</f>
        <v>Possibly Eligible</v>
      </c>
      <c r="V57" s="40"/>
      <c r="W57" s="40"/>
      <c r="X57" s="140" t="s">
        <v>27</v>
      </c>
      <c r="Y57" s="150">
        <f>IF(ISBLANK('Estimate Pg 1'!X21),"",'Estimate Pg 1'!X21)</f>
        <v>0.26800000000000002</v>
      </c>
      <c r="Z57" s="146"/>
      <c r="AA57" s="40"/>
      <c r="AB57" s="40"/>
      <c r="AC57" s="40"/>
      <c r="AD57" s="74"/>
      <c r="AE57" s="94">
        <v>3</v>
      </c>
      <c r="AF57" s="40" t="str">
        <f>IF(AE57&gt;MAX($AE$50:$AE$53),"",INDEX($AF$50:$AF$53,MATCH(AE57,$AE$50:$AE$53,0),1))</f>
        <v/>
      </c>
      <c r="AG57" s="40"/>
      <c r="AH57" s="40"/>
      <c r="AI57" s="74"/>
      <c r="AJ57" s="45"/>
      <c r="AN57" s="3"/>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row>
    <row r="58" spans="1:98" ht="14.1" customHeight="1" x14ac:dyDescent="0.25">
      <c r="A58" s="13"/>
      <c r="B58" s="14"/>
      <c r="C58" s="195" t="str">
        <f>"PES/"&amp;LOWER('Estimate Pg 1'!R8)</f>
        <v>PES/wps</v>
      </c>
      <c r="D58" s="196"/>
      <c r="E58" s="196"/>
      <c r="F58" s="196"/>
      <c r="G58" s="196"/>
      <c r="H58" s="196"/>
      <c r="I58" s="196"/>
      <c r="J58" s="196"/>
      <c r="K58" s="259" t="str">
        <f>"Program Version: "&amp;'Estimate Pg 1'!$X$8</f>
        <v>Program Version: v3.1</v>
      </c>
      <c r="L58" s="259"/>
      <c r="M58" s="259"/>
      <c r="N58" s="259"/>
      <c r="O58" s="32"/>
      <c r="P58" s="36"/>
      <c r="Q58" s="13"/>
      <c r="R58" s="13"/>
      <c r="S58" s="184" t="s">
        <v>129</v>
      </c>
      <c r="T58" s="153"/>
      <c r="U58" s="153" t="str">
        <f ca="1">IF(OR(ISBLANK(U51),U51="Unknown"),"-----",TEXT((TODAY()-DATEVALUE("12/31/"&amp;MAX(1900,U51))+IF(U51&gt;=1900,0,(1900-U51)*365))/365,"#"))</f>
        <v>77</v>
      </c>
      <c r="V58" s="96" t="s">
        <v>130</v>
      </c>
      <c r="W58" s="96"/>
      <c r="X58" s="154"/>
      <c r="Y58" s="154"/>
      <c r="Z58" s="154"/>
      <c r="AA58" s="96"/>
      <c r="AB58" s="96"/>
      <c r="AC58" s="96"/>
      <c r="AD58" s="79"/>
      <c r="AE58" s="95">
        <v>4</v>
      </c>
      <c r="AF58" s="96" t="str">
        <f>IF(AE58&gt;MAX($AE$50:$AE$53),"",INDEX($AF$50:$AF$53,MATCH(AE58,$AE$50:$AE$53,0),1))</f>
        <v/>
      </c>
      <c r="AG58" s="96"/>
      <c r="AH58" s="96"/>
      <c r="AI58" s="79"/>
      <c r="AJ58" s="45"/>
      <c r="AN58" s="3"/>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row>
    <row r="59" spans="1:98" ht="4.5" customHeight="1" x14ac:dyDescent="0.25">
      <c r="A59" s="13"/>
      <c r="B59" s="14"/>
      <c r="C59" s="14"/>
      <c r="D59" s="14"/>
      <c r="E59" s="14"/>
      <c r="F59" s="14"/>
      <c r="G59" s="14"/>
      <c r="H59" s="14"/>
      <c r="I59" s="14"/>
      <c r="J59" s="14"/>
      <c r="K59" s="14"/>
      <c r="L59" s="14"/>
      <c r="M59" s="14"/>
      <c r="N59" s="14"/>
      <c r="O59" s="14"/>
      <c r="P59" s="36"/>
      <c r="Q59" s="13"/>
      <c r="R59" s="13"/>
      <c r="S59" s="13"/>
      <c r="T59" s="13"/>
      <c r="U59" s="13"/>
      <c r="V59" s="13"/>
      <c r="W59" s="13"/>
      <c r="X59" s="13"/>
      <c r="Y59" s="13"/>
      <c r="Z59" s="13"/>
      <c r="AA59" s="13"/>
      <c r="AB59" s="13"/>
      <c r="AC59" s="13"/>
      <c r="AD59" s="13"/>
      <c r="AE59" s="36"/>
      <c r="AF59" s="40"/>
      <c r="AG59" s="40"/>
      <c r="AH59" s="40"/>
      <c r="AI59" s="40"/>
      <c r="AJ59" s="45"/>
      <c r="AN59" s="3"/>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row>
    <row r="60" spans="1:98" ht="14.1" customHeight="1" x14ac:dyDescent="0.25">
      <c r="A60" s="36"/>
      <c r="B60" s="13"/>
      <c r="C60" s="30"/>
      <c r="D60" s="7" t="s">
        <v>92</v>
      </c>
      <c r="E60" s="13"/>
      <c r="F60" s="13"/>
      <c r="G60" s="13"/>
      <c r="H60" s="13"/>
      <c r="I60" s="13"/>
      <c r="J60" s="13"/>
      <c r="K60" s="13"/>
      <c r="L60" s="13"/>
      <c r="M60" s="13"/>
      <c r="N60" s="13"/>
      <c r="O60" s="13"/>
      <c r="P60" s="36"/>
      <c r="Q60" s="36"/>
      <c r="R60" s="36"/>
      <c r="S60" s="36"/>
      <c r="T60" s="36"/>
      <c r="U60" s="36"/>
      <c r="V60" s="36"/>
      <c r="W60" s="36"/>
      <c r="X60" s="36"/>
      <c r="Y60" s="36"/>
      <c r="Z60" s="36"/>
      <c r="AA60" s="36"/>
      <c r="AB60" s="36"/>
      <c r="AC60" s="36"/>
      <c r="AD60" s="36"/>
      <c r="AE60" s="36"/>
      <c r="AF60" s="36"/>
      <c r="AG60" s="36"/>
      <c r="AH60" s="36"/>
      <c r="AI60" s="36"/>
      <c r="AJ60" s="45"/>
      <c r="AN60" s="3"/>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row>
    <row r="61" spans="1:98" ht="11.25" customHeight="1" x14ac:dyDescent="0.25">
      <c r="A61" s="36">
        <f>IF(ISBLANK(C61),C60,1+C60)</f>
        <v>1</v>
      </c>
      <c r="B61" s="13"/>
      <c r="C61" s="181" t="s">
        <v>257</v>
      </c>
      <c r="D61" s="36" t="str">
        <f>IF(ISBLANK('Estimate Pg 1'!D59),"",'Estimate Pg 1'!D59)</f>
        <v>This estimate is based on current estimated prices.  The Town should allow for cost increase due to inflation.</v>
      </c>
      <c r="E61" s="13"/>
      <c r="F61" s="13"/>
      <c r="G61" s="13"/>
      <c r="H61" s="13"/>
      <c r="I61" s="13"/>
      <c r="J61" s="13"/>
      <c r="K61" s="13"/>
      <c r="L61" s="13"/>
      <c r="M61" s="13"/>
      <c r="N61" s="13"/>
      <c r="O61" s="13"/>
      <c r="P61" s="36"/>
      <c r="Q61" s="36"/>
      <c r="R61" s="36"/>
      <c r="S61" s="36"/>
      <c r="T61" s="36"/>
      <c r="U61" s="36"/>
      <c r="V61" s="36"/>
      <c r="W61" s="36"/>
      <c r="X61" s="36"/>
      <c r="Y61" s="36"/>
      <c r="Z61" s="36"/>
      <c r="AA61" s="36"/>
      <c r="AB61" s="36"/>
      <c r="AC61" s="36"/>
      <c r="AD61" s="36"/>
      <c r="AE61" s="36"/>
      <c r="AF61" s="36"/>
      <c r="AG61" s="36"/>
      <c r="AH61" s="36"/>
      <c r="AI61" s="36"/>
      <c r="AJ61" s="45"/>
      <c r="AN61" s="3"/>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row>
    <row r="62" spans="1:98" ht="14.1" customHeight="1" x14ac:dyDescent="0.25">
      <c r="A62" s="36">
        <f t="shared" ref="A62:A74" si="0">IF(ISBLANK(C62),A61,1+A61)</f>
        <v>2</v>
      </c>
      <c r="B62" s="13"/>
      <c r="C62" s="181" t="s">
        <v>257</v>
      </c>
      <c r="D62" s="36" t="str">
        <f>AB14</f>
        <v>The required waterway area for the proposed bridge was estimated.  A Hydraulic Study has not been done.</v>
      </c>
      <c r="E62" s="13"/>
      <c r="F62" s="13"/>
      <c r="G62" s="13"/>
      <c r="H62" s="13"/>
      <c r="I62" s="13"/>
      <c r="J62" s="13"/>
      <c r="K62" s="13"/>
      <c r="L62" s="13"/>
      <c r="M62" s="13"/>
      <c r="N62" s="13"/>
      <c r="O62" s="13"/>
      <c r="P62" s="36"/>
      <c r="Q62" s="36"/>
      <c r="R62" s="36"/>
      <c r="S62" s="36"/>
      <c r="T62" s="36"/>
      <c r="U62" s="36"/>
      <c r="V62" s="36"/>
      <c r="W62" s="36"/>
      <c r="X62" s="36"/>
      <c r="Y62" s="36"/>
      <c r="Z62" s="36"/>
      <c r="AA62" s="36"/>
      <c r="AB62" s="36"/>
      <c r="AC62" s="36"/>
      <c r="AD62" s="36"/>
      <c r="AE62" s="36"/>
      <c r="AF62" s="36"/>
      <c r="AG62" s="36"/>
      <c r="AH62" s="36"/>
      <c r="AI62" s="36"/>
      <c r="AJ62" s="45"/>
      <c r="AN62" s="3"/>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row>
    <row r="63" spans="1:98" ht="14.1" customHeight="1" x14ac:dyDescent="0.25">
      <c r="A63" s="36">
        <f t="shared" si="0"/>
        <v>3</v>
      </c>
      <c r="B63" s="13"/>
      <c r="C63" s="181" t="s">
        <v>257</v>
      </c>
      <c r="D63" s="36" t="s">
        <v>292</v>
      </c>
      <c r="E63" s="36"/>
      <c r="F63" s="36"/>
      <c r="G63" s="36"/>
      <c r="H63" s="36"/>
      <c r="I63" s="36"/>
      <c r="J63" s="36"/>
      <c r="K63" s="36"/>
      <c r="L63" s="36"/>
      <c r="M63" s="36"/>
      <c r="N63" s="36"/>
      <c r="O63" s="36"/>
      <c r="P63" s="200" t="str">
        <f>IF(AND(LEFT(E17,3)="Yes",ISBLANK(C63)),"&lt;=== User has indicated above that Phased Construction is to be used.  Consider adding this note!",IF(C63="x","&lt;=== User has not specified above that phased construction is to be used.  Remove note!",""))</f>
        <v>&lt;=== User has not specified above that phased construction is to be used.  Remove note!</v>
      </c>
      <c r="Q63" s="36"/>
      <c r="R63" s="36"/>
      <c r="S63" s="36"/>
      <c r="T63" s="36"/>
      <c r="U63" s="36"/>
      <c r="V63" s="36"/>
      <c r="W63" s="36"/>
      <c r="X63" s="36"/>
      <c r="Y63" s="36"/>
      <c r="Z63" s="36"/>
      <c r="AA63" s="36"/>
      <c r="AB63" s="36"/>
      <c r="AC63" s="36"/>
      <c r="AD63" s="36"/>
      <c r="AE63" s="36"/>
      <c r="AF63" s="36"/>
      <c r="AG63" s="36"/>
      <c r="AH63" s="36"/>
      <c r="AI63" s="36"/>
      <c r="AJ63" s="45"/>
      <c r="AN63" s="3"/>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row>
    <row r="64" spans="1:98" ht="14.1" customHeight="1" x14ac:dyDescent="0.25">
      <c r="A64" s="36">
        <f t="shared" si="0"/>
        <v>3</v>
      </c>
      <c r="B64" s="13"/>
      <c r="C64" s="181"/>
      <c r="D64" s="36" t="str">
        <f>IF(ISBLANK('Estimate Pg 1'!D62),"",'Estimate Pg 1'!D62)</f>
        <v>DES Stream Crossing Guidline estimate has been completed with Bank Full width = 16.00'</v>
      </c>
      <c r="E64" s="13"/>
      <c r="F64" s="13"/>
      <c r="G64" s="13"/>
      <c r="H64" s="13"/>
      <c r="I64" s="13"/>
      <c r="J64" s="13"/>
      <c r="K64" s="13"/>
      <c r="L64" s="13"/>
      <c r="M64" s="13"/>
      <c r="N64" s="13"/>
      <c r="O64" s="13"/>
      <c r="P64" s="36"/>
      <c r="Q64" s="36"/>
      <c r="R64" s="36"/>
      <c r="S64" s="36"/>
      <c r="T64" s="36"/>
      <c r="U64" s="36"/>
      <c r="V64" s="36"/>
      <c r="W64" s="36"/>
      <c r="X64" s="36"/>
      <c r="Y64" s="36"/>
      <c r="Z64" s="36"/>
      <c r="AA64" s="36"/>
      <c r="AB64" s="36"/>
      <c r="AC64" s="36"/>
      <c r="AD64" s="36"/>
      <c r="AE64" s="36"/>
      <c r="AF64" s="36"/>
      <c r="AG64" s="36"/>
      <c r="AH64" s="36"/>
      <c r="AI64" s="36"/>
      <c r="AJ64" s="45"/>
      <c r="AN64" s="3"/>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row>
    <row r="65" spans="1:98" ht="14.1" customHeight="1" x14ac:dyDescent="0.25">
      <c r="A65" s="36">
        <f t="shared" si="0"/>
        <v>3</v>
      </c>
      <c r="B65" s="13"/>
      <c r="C65" s="181"/>
      <c r="D65" s="36" t="str">
        <f>IF(ISBLANK('Estimate Pg 1'!D63),"",'Estimate Pg 1'!D63)</f>
        <v>A stream crossing assessment has not been completed.  Assumed Bank Full Width = 16.00'</v>
      </c>
      <c r="E65" s="13"/>
      <c r="F65" s="13"/>
      <c r="G65" s="13"/>
      <c r="H65" s="13"/>
      <c r="I65" s="13"/>
      <c r="J65" s="13"/>
      <c r="K65" s="13"/>
      <c r="L65" s="13"/>
      <c r="M65" s="13"/>
      <c r="N65" s="13"/>
      <c r="O65" s="13"/>
      <c r="P65" s="36"/>
      <c r="Q65" s="36"/>
      <c r="R65" s="36"/>
      <c r="S65" s="36"/>
      <c r="T65" s="36"/>
      <c r="U65" s="36"/>
      <c r="V65" s="36"/>
      <c r="W65" s="36"/>
      <c r="X65" s="36"/>
      <c r="Y65" s="36"/>
      <c r="Z65" s="36"/>
      <c r="AA65" s="36"/>
      <c r="AB65" s="36"/>
      <c r="AC65" s="36"/>
      <c r="AD65" s="36"/>
      <c r="AE65" s="36"/>
      <c r="AF65" s="36"/>
      <c r="AG65" s="36"/>
      <c r="AH65" s="36"/>
      <c r="AI65" s="36"/>
      <c r="AJ65" s="45"/>
      <c r="AN65" s="3"/>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row>
    <row r="66" spans="1:98" ht="14.1" customHeight="1" x14ac:dyDescent="0.25">
      <c r="A66" s="36">
        <f t="shared" si="0"/>
        <v>3</v>
      </c>
      <c r="B66" s="13"/>
      <c r="C66" s="181"/>
      <c r="D66" s="36" t="str">
        <f>IF(ISBLANK('Estimate Pg 1'!D64),"",'Estimate Pg 1'!D64)</f>
        <v>DES Stream Crossing Guidlines may require a span length greater than that used in this estimate.</v>
      </c>
      <c r="E66" s="13"/>
      <c r="F66" s="13"/>
      <c r="G66" s="13"/>
      <c r="H66" s="13"/>
      <c r="I66" s="13"/>
      <c r="J66" s="13"/>
      <c r="K66" s="13"/>
      <c r="L66" s="13"/>
      <c r="M66" s="13"/>
      <c r="N66" s="13"/>
      <c r="O66" s="13" t="s">
        <v>137</v>
      </c>
      <c r="P66" s="36"/>
      <c r="Q66" s="36"/>
      <c r="R66" s="36"/>
      <c r="S66" s="36"/>
      <c r="T66" s="36"/>
      <c r="U66" s="36"/>
      <c r="V66" s="36"/>
      <c r="W66" s="36"/>
      <c r="X66" s="36"/>
      <c r="Y66" s="36"/>
      <c r="Z66" s="36"/>
      <c r="AA66" s="36"/>
      <c r="AB66" s="36"/>
      <c r="AC66" s="36"/>
      <c r="AD66" s="36"/>
      <c r="AE66" s="36"/>
      <c r="AF66" s="36"/>
      <c r="AG66" s="36"/>
      <c r="AH66" s="36"/>
      <c r="AI66" s="36"/>
      <c r="AJ66" s="45"/>
      <c r="AN66" s="3"/>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row>
    <row r="67" spans="1:98" ht="14.1" customHeight="1" x14ac:dyDescent="0.25">
      <c r="A67" s="36">
        <f t="shared" si="0"/>
        <v>3</v>
      </c>
      <c r="B67" s="13"/>
      <c r="C67" s="181"/>
      <c r="D67" s="36" t="str">
        <f>IF(ISBLANK('Estimate Pg 1'!D65),"",'Estimate Pg 1'!D65)</f>
        <v>The width of the existing bridge noted is edge of gravel to edge of gravel.  Exist. culvert length is approx. 30'.</v>
      </c>
      <c r="E67" s="13"/>
      <c r="F67" s="13"/>
      <c r="G67" s="13"/>
      <c r="H67" s="13"/>
      <c r="I67" s="13"/>
      <c r="J67" s="13"/>
      <c r="K67" s="13"/>
      <c r="L67" s="13"/>
      <c r="M67" s="13"/>
      <c r="N67" s="13"/>
      <c r="O67" s="13"/>
      <c r="P67" s="36"/>
      <c r="Q67" s="36"/>
      <c r="R67" s="36"/>
      <c r="S67" s="36"/>
      <c r="T67" s="36"/>
      <c r="U67" s="36"/>
      <c r="V67" s="36"/>
      <c r="W67" s="36"/>
      <c r="X67" s="36"/>
      <c r="Y67" s="36"/>
      <c r="Z67" s="36"/>
      <c r="AA67" s="36"/>
      <c r="AB67" s="36"/>
      <c r="AC67" s="36"/>
      <c r="AD67" s="36"/>
      <c r="AE67" s="36"/>
      <c r="AF67" s="36"/>
      <c r="AG67" s="36"/>
      <c r="AH67" s="36"/>
      <c r="AI67" s="36"/>
      <c r="AJ67" s="45"/>
      <c r="AN67" s="3"/>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row>
    <row r="68" spans="1:98" ht="13.5" customHeight="1" x14ac:dyDescent="0.25">
      <c r="A68" s="36">
        <f t="shared" si="0"/>
        <v>3</v>
      </c>
      <c r="B68" s="13"/>
      <c r="C68" s="181"/>
      <c r="D68" s="36" t="str">
        <f>IF(ISBLANK('Estimate Pg 1'!D66),"",'Estimate Pg 1'!D66)</f>
        <v>Rehabilitation cost includes deck, superstructure and substructure.</v>
      </c>
      <c r="E68" s="13"/>
      <c r="F68" s="13"/>
      <c r="G68" s="13"/>
      <c r="H68" s="13"/>
      <c r="I68" s="13"/>
      <c r="J68" s="13"/>
      <c r="K68" s="13"/>
      <c r="L68" s="13"/>
      <c r="M68" s="13"/>
      <c r="N68" s="13"/>
      <c r="O68" s="13"/>
      <c r="P68" s="36"/>
      <c r="Q68" s="36"/>
      <c r="R68" s="36"/>
      <c r="S68" s="36"/>
      <c r="T68" s="36"/>
      <c r="U68" s="36"/>
      <c r="V68" s="36"/>
      <c r="W68" s="36"/>
      <c r="X68" s="36"/>
      <c r="Y68" s="36"/>
      <c r="Z68" s="36"/>
      <c r="AA68" s="36"/>
      <c r="AB68" s="36"/>
      <c r="AC68" s="36"/>
      <c r="AD68" s="36"/>
      <c r="AE68" s="36"/>
      <c r="AF68" s="36"/>
      <c r="AG68" s="36"/>
      <c r="AH68" s="36"/>
      <c r="AI68" s="36"/>
      <c r="AJ68" s="45"/>
      <c r="AN68" s="3"/>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row>
    <row r="69" spans="1:98" ht="13.5" customHeight="1" x14ac:dyDescent="0.25">
      <c r="A69" s="36">
        <f t="shared" si="0"/>
        <v>3</v>
      </c>
      <c r="B69" s="13"/>
      <c r="C69" s="181"/>
      <c r="D69" s="36" t="str">
        <f>IF(ISBLANK('Estimate Pg 1'!D67),"",'Estimate Pg 1'!D67)</f>
        <v>Rehabilitation cost includes deck and superstructure.</v>
      </c>
      <c r="E69" s="13"/>
      <c r="F69" s="13"/>
      <c r="G69" s="13"/>
      <c r="H69" s="13"/>
      <c r="I69" s="13"/>
      <c r="J69" s="13"/>
      <c r="K69" s="13"/>
      <c r="L69" s="13"/>
      <c r="M69" s="13"/>
      <c r="N69" s="13"/>
      <c r="O69" s="13"/>
      <c r="P69" s="36"/>
      <c r="Q69" s="36"/>
      <c r="R69" s="36"/>
      <c r="S69" s="36"/>
      <c r="T69" s="36"/>
      <c r="U69" s="36"/>
      <c r="V69" s="36"/>
      <c r="W69" s="36"/>
      <c r="X69" s="36"/>
      <c r="Y69" s="36"/>
      <c r="Z69" s="36"/>
      <c r="AA69" s="36"/>
      <c r="AB69" s="36"/>
      <c r="AC69" s="36"/>
      <c r="AD69" s="36"/>
      <c r="AE69" s="36"/>
      <c r="AF69" s="36"/>
      <c r="AG69" s="36"/>
      <c r="AH69" s="36"/>
      <c r="AI69" s="36"/>
      <c r="AJ69" s="44"/>
      <c r="AN69" s="3"/>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row>
    <row r="70" spans="1:98" ht="15.6" customHeight="1" x14ac:dyDescent="0.25">
      <c r="A70" s="36">
        <f t="shared" si="0"/>
        <v>3</v>
      </c>
      <c r="B70" s="13"/>
      <c r="C70" s="181"/>
      <c r="D70" s="36" t="str">
        <f>IF(ISBLANK('Estimate Pg 1'!D68),"",'Estimate Pg 1'!D68)</f>
        <v>Rehabilitation cost includes deck, expansion joint, fixed bearing and guardrail replacement, pavement and membrane, and painting 10' of each end, each girder, and fully painting upstream fascia girder.  For full painting of superstructure, add additional $100,000.  Access to underside of bridge to fully assess superstructure not available at time of estimate.</v>
      </c>
      <c r="E70" s="13"/>
      <c r="F70" s="13"/>
      <c r="G70" s="13"/>
      <c r="H70" s="13"/>
      <c r="I70" s="13"/>
      <c r="J70" s="13"/>
      <c r="K70" s="13"/>
      <c r="L70" s="13"/>
      <c r="M70" s="13"/>
      <c r="N70" s="13"/>
      <c r="O70" s="13"/>
      <c r="P70" s="13"/>
      <c r="Q70" s="36"/>
      <c r="R70" s="36"/>
      <c r="S70" s="36"/>
      <c r="T70" s="36"/>
      <c r="U70" s="36"/>
      <c r="V70" s="36"/>
      <c r="W70" s="36"/>
      <c r="X70" s="36"/>
      <c r="Y70" s="36"/>
      <c r="Z70" s="36"/>
      <c r="AA70" s="13"/>
      <c r="AB70" s="13"/>
      <c r="AC70" s="13"/>
      <c r="AD70" s="13"/>
      <c r="AE70" s="36"/>
      <c r="AF70" s="36"/>
      <c r="AG70" s="36"/>
      <c r="AH70" s="36"/>
      <c r="AI70" s="36"/>
      <c r="AJ70" s="44"/>
    </row>
    <row r="71" spans="1:98" ht="12.75" customHeight="1" x14ac:dyDescent="0.25">
      <c r="A71" s="36">
        <f t="shared" si="0"/>
        <v>3</v>
      </c>
      <c r="B71" s="13"/>
      <c r="C71" s="181"/>
      <c r="D71" s="36" t="str">
        <f>IF(ISBLANK('Estimate Pg 1'!D69),"",'Estimate Pg 1'!D69)</f>
        <v>Rehabilitation cost includes: Superstructure Repairs, Bearing Rehab, Concrete Repairs (deck &amp; substructure), slope stabilization, deck membrane, deck pavement, expan. Jt. replacement and superstructure painting.</v>
      </c>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36"/>
      <c r="AF71" s="36"/>
      <c r="AG71" s="36"/>
      <c r="AH71" s="36"/>
      <c r="AI71" s="36"/>
      <c r="AJ71" s="44"/>
    </row>
    <row r="72" spans="1:98" ht="12.75" customHeight="1" x14ac:dyDescent="0.25">
      <c r="A72" s="36">
        <f t="shared" si="0"/>
        <v>3</v>
      </c>
      <c r="B72" s="13"/>
      <c r="C72" s="181"/>
      <c r="D72" s="36" t="str">
        <f>IF(ISBLANK('Estimate Pg 1'!D70),"",'Estimate Pg 1'!D70)</f>
        <v>Rehabilitation work includes:  replacement of joint seals, deck patching, curb patching, abutment and pier patching and spot painting.  This work should be done in conjuntion with Br. Nos. 106/072 and 107/071.  Traffic control and painting costs are proportioned over the three bridges.</v>
      </c>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36"/>
      <c r="AF72" s="36"/>
      <c r="AG72" s="36"/>
      <c r="AH72" s="36"/>
      <c r="AI72" s="36"/>
      <c r="AJ72" s="44"/>
    </row>
    <row r="73" spans="1:98" ht="15" x14ac:dyDescent="0.25">
      <c r="A73" s="36">
        <f t="shared" si="0"/>
        <v>3</v>
      </c>
      <c r="B73" s="13"/>
      <c r="C73" s="181"/>
      <c r="D73" s="36" t="str">
        <f>IF(ISBLANK('Estimate Pg 1'!D71),"",'Estimate Pg 1'!D71)</f>
        <v>Rehabilitation work includes:  Fixing delaminations and spalls in abutments, grouting voids under abutments, installing bridge approach rail, replacing bearings, fixing erosion behind SW wingwall, addressing pavement settling at NW wingwall, and cleaning and painting structural steel and rail attachements.</v>
      </c>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36"/>
      <c r="AF73" s="36"/>
      <c r="AG73" s="36"/>
      <c r="AH73" s="36"/>
      <c r="AI73" s="36"/>
      <c r="AJ73" s="44"/>
    </row>
    <row r="74" spans="1:98" ht="15" x14ac:dyDescent="0.25">
      <c r="A74" s="36">
        <f t="shared" si="0"/>
        <v>3</v>
      </c>
      <c r="B74" s="13"/>
      <c r="C74" s="181"/>
      <c r="D74" s="36" t="str">
        <f>IF(ISBLANK('Estimate Pg 1'!D72),"",'Estimate Pg 1'!D72)</f>
        <v>Temporary widening of roadway to west (Detour Cost) req'd to accomodate phased construction.</v>
      </c>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36"/>
      <c r="AF74" s="36"/>
      <c r="AG74" s="36"/>
      <c r="AH74" s="36"/>
      <c r="AI74" s="36"/>
      <c r="AJ74" s="44"/>
    </row>
    <row r="75" spans="1:98" ht="15" x14ac:dyDescent="0.25">
      <c r="A75" s="36">
        <f t="shared" ref="A75:A88" si="1">IF(ISBLANK(C75),A74,1+A74)</f>
        <v>3</v>
      </c>
      <c r="B75" s="13"/>
      <c r="C75" s="181"/>
      <c r="D75" s="36" t="str">
        <f>IF(ISBLANK('Estimate Pg 1'!D73),"",'Estimate Pg 1'!D73)</f>
        <v>Bridge rehabilitaiton to consists of placing a shotcrete liner inside the culvert along the bottom and sides to approximately the spring line of the culvert.</v>
      </c>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36"/>
      <c r="AF75" s="36"/>
      <c r="AG75" s="36"/>
      <c r="AH75" s="36"/>
      <c r="AI75" s="36"/>
      <c r="AJ75" s="44"/>
    </row>
    <row r="76" spans="1:98" ht="15" x14ac:dyDescent="0.25">
      <c r="A76" s="36">
        <f t="shared" si="1"/>
        <v>3</v>
      </c>
      <c r="B76" s="13"/>
      <c r="C76" s="181"/>
      <c r="D76" s="36" t="str">
        <f>IF(ISBLANK('Estimate Pg 1'!D74),"",'Estimate Pg 1'!D74)</f>
        <v>Span shown is based on Hydraulic need which is greater than 1.2(bankfull width) + 2'.</v>
      </c>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36"/>
      <c r="AF76" s="36"/>
      <c r="AG76" s="36"/>
      <c r="AH76" s="36"/>
      <c r="AI76" s="36"/>
      <c r="AJ76" s="44"/>
    </row>
    <row r="77" spans="1:98" ht="15" x14ac:dyDescent="0.25">
      <c r="A77" s="36">
        <f t="shared" si="1"/>
        <v>3</v>
      </c>
      <c r="B77" s="13"/>
      <c r="C77" s="181"/>
      <c r="D77" s="36" t="str">
        <f>IF(ISBLANK('Estimate Pg 1'!D75),"",'Estimate Pg 1'!D75)</f>
        <v>Replacement cost includes: access for bridge construction, removal of existing bridge structure, 3 sided Conspan w/ footing and wingwalls, excavation and backfill quantity, cofferdams, water diversion, pavement, beam guardrail with terminal units, and Class B Stone.</v>
      </c>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36"/>
      <c r="AF77" s="36"/>
      <c r="AG77" s="36"/>
      <c r="AH77" s="36"/>
      <c r="AI77" s="36"/>
      <c r="AJ77" s="44"/>
    </row>
    <row r="78" spans="1:98" ht="15" x14ac:dyDescent="0.25">
      <c r="A78" s="36">
        <f t="shared" si="1"/>
        <v>3</v>
      </c>
      <c r="B78" s="13"/>
      <c r="C78" s="181"/>
      <c r="D78" s="36" t="str">
        <f>IF(ISBLANK('Estimate Pg 1'!D76),"",'Estimate Pg 1'!D76)</f>
        <v xml:space="preserve">Neither a Hydraulic Study or Stream Crossing Assessment has been completed.  </v>
      </c>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36"/>
      <c r="AF78" s="36"/>
      <c r="AG78" s="36"/>
      <c r="AH78" s="36"/>
      <c r="AI78" s="36"/>
      <c r="AJ78" s="44"/>
    </row>
    <row r="79" spans="1:98" ht="15" x14ac:dyDescent="0.25">
      <c r="A79" s="36">
        <f t="shared" si="1"/>
        <v>3</v>
      </c>
      <c r="B79" s="13"/>
      <c r="C79" s="181"/>
      <c r="D79" s="36" t="str">
        <f>IF(ISBLANK('Estimate Pg 1'!D77),"",'Estimate Pg 1'!D77)</f>
        <v>Assumed Bank Full Width = 16'</v>
      </c>
      <c r="E79" s="13"/>
      <c r="F79" s="13"/>
      <c r="G79" s="13"/>
      <c r="H79" s="13"/>
      <c r="I79" s="13"/>
      <c r="J79" s="13"/>
      <c r="K79" s="13"/>
      <c r="L79" s="13"/>
      <c r="M79" s="13"/>
      <c r="N79" s="13"/>
      <c r="O79" s="13"/>
      <c r="P79" s="13"/>
      <c r="Q79" s="13"/>
      <c r="R79" s="36"/>
      <c r="S79" s="36"/>
      <c r="T79" s="36"/>
      <c r="U79" s="36"/>
      <c r="V79" s="36"/>
      <c r="W79" s="36"/>
      <c r="X79" s="36"/>
      <c r="Y79" s="36"/>
      <c r="Z79" s="36"/>
      <c r="AA79" s="13"/>
      <c r="AB79" s="13"/>
      <c r="AC79" s="13"/>
      <c r="AD79" s="13"/>
      <c r="AE79" s="36"/>
      <c r="AF79" s="36"/>
      <c r="AG79" s="36"/>
      <c r="AH79" s="36"/>
      <c r="AI79" s="36"/>
      <c r="AJ79" s="44"/>
    </row>
    <row r="80" spans="1:98" ht="15" x14ac:dyDescent="0.25">
      <c r="A80" s="36">
        <f t="shared" si="1"/>
        <v>3</v>
      </c>
      <c r="B80" s="13"/>
      <c r="C80" s="181"/>
      <c r="D80" s="36" t="str">
        <f>IF(ISBLANK('Estimate Pg 1'!D78),"",'Estimate Pg 1'!D78)</f>
        <v>Neither a Hydraulic Study or Stream Crossing Assessment has been completed.  Assumed Bank Full Width = 16'</v>
      </c>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36"/>
      <c r="AF80" s="36"/>
      <c r="AG80" s="36"/>
      <c r="AH80" s="36"/>
      <c r="AI80" s="36"/>
      <c r="AJ80" s="44"/>
    </row>
    <row r="81" spans="1:36" ht="15" x14ac:dyDescent="0.25">
      <c r="A81" s="36">
        <f t="shared" si="1"/>
        <v>3</v>
      </c>
      <c r="B81" s="13"/>
      <c r="C81" s="181"/>
      <c r="D81" s="36" t="str">
        <f>IF(ISBLANK('Estimate Pg 1'!D79),"",'Estimate Pg 1'!D79)</f>
        <v xml:space="preserve">The required waterway opening for the bridge is assumed.  A Hydraulic Study has not been completed. </v>
      </c>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36"/>
      <c r="AF81" s="36"/>
      <c r="AG81" s="36"/>
      <c r="AH81" s="36"/>
      <c r="AI81" s="36"/>
      <c r="AJ81" s="44"/>
    </row>
    <row r="82" spans="1:36" ht="15" x14ac:dyDescent="0.25">
      <c r="A82" s="36">
        <f t="shared" si="1"/>
        <v>3</v>
      </c>
      <c r="B82" s="13"/>
      <c r="C82" s="181"/>
      <c r="D82" s="36" t="str">
        <f>IF(ISBLANK('Estimate Pg 1'!D80),"",'Estimate Pg 1'!D80)</f>
        <v>Temp. bridge may not be feasible at this site due to geometric roadway constraints and/or DES permitting requirements.</v>
      </c>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36"/>
      <c r="AF82" s="36"/>
      <c r="AG82" s="36"/>
      <c r="AH82" s="36"/>
      <c r="AI82" s="36"/>
      <c r="AJ82" s="44"/>
    </row>
    <row r="83" spans="1:36" ht="15" x14ac:dyDescent="0.25">
      <c r="A83" s="36">
        <f t="shared" si="1"/>
        <v>3</v>
      </c>
      <c r="B83" s="13"/>
      <c r="C83" s="181"/>
      <c r="D83" s="36" t="str">
        <f>IF(ISBLANK('Estimate Pg 1'!D81),"",'Estimate Pg 1'!D81)</f>
        <v>Approach work length projected 625' to west of 6' ± diameter CMP overflow structure which is ≈ 275' west of bridge for adjustments in vertical alignment.  Estimate doesn't include for significant work on overflow structure.</v>
      </c>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36"/>
      <c r="AF83" s="36"/>
      <c r="AG83" s="36"/>
      <c r="AH83" s="36"/>
      <c r="AI83" s="36"/>
      <c r="AJ83" s="44"/>
    </row>
    <row r="84" spans="1:36" ht="15" x14ac:dyDescent="0.25">
      <c r="A84" s="36">
        <f t="shared" si="1"/>
        <v>3</v>
      </c>
      <c r="B84" s="13"/>
      <c r="C84" s="181"/>
      <c r="D84" s="36" t="str">
        <f>IF(ISBLANK('Estimate Pg 1'!D82),"",'Estimate Pg 1'!D82)</f>
        <v>A Hydraulic Study has not been completed. Replacing the bridge with an estimated hydraulic span of 10' (existing span) reduces the estimated structure costs by $70K.</v>
      </c>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36"/>
      <c r="AF84" s="36"/>
      <c r="AG84" s="36"/>
      <c r="AH84" s="36"/>
      <c r="AI84" s="36"/>
      <c r="AJ84" s="44"/>
    </row>
    <row r="85" spans="1:36" ht="15" x14ac:dyDescent="0.25">
      <c r="A85" s="36">
        <f t="shared" si="1"/>
        <v>3</v>
      </c>
      <c r="B85" s="13"/>
      <c r="C85" s="181"/>
      <c r="D85" s="36" t="str">
        <f>IF(ISBLANK('Estimate Pg 1'!D83),"",'Estimate Pg 1'!D83)</f>
        <v xml:space="preserve">Nominal ROW cost included as existing ROW is unknown.  </v>
      </c>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36"/>
      <c r="AF85" s="36"/>
      <c r="AG85" s="36"/>
      <c r="AH85" s="36"/>
      <c r="AI85" s="36"/>
      <c r="AJ85" s="44"/>
    </row>
    <row r="86" spans="1:36" ht="15" x14ac:dyDescent="0.25">
      <c r="A86" s="36">
        <f t="shared" si="1"/>
        <v>3</v>
      </c>
      <c r="B86" s="13"/>
      <c r="C86" s="181"/>
      <c r="D86" s="36" t="str">
        <f>IF(ISBLANK('Estimate Pg 1'!D84),"",'Estimate Pg 1'!D84)</f>
        <v>Approach work requires limited work @ intersections of Bog Rd and Melody Lane &amp; Bog Rd and Colby Rd.</v>
      </c>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36"/>
      <c r="AF86" s="36"/>
      <c r="AG86" s="36"/>
      <c r="AH86" s="36"/>
      <c r="AI86" s="36"/>
      <c r="AJ86" s="44"/>
    </row>
    <row r="87" spans="1:36" ht="15" x14ac:dyDescent="0.25">
      <c r="A87" s="36">
        <f t="shared" si="1"/>
        <v>3</v>
      </c>
      <c r="B87" s="13"/>
      <c r="C87" s="181"/>
      <c r="D87" s="36" t="str">
        <f>IF(ISBLANK('Estimate Pg 1'!D85),"",'Estimate Pg 1'!D85)</f>
        <v>Temp. bridge not feasible @ this site due to stream/roadway &amp; structure constraints.  Detour established via Br 083/098, Bridge Rd, through private property used during previous rehabilitation will be required again. These $'s are not included.</v>
      </c>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36"/>
      <c r="AF87" s="36"/>
      <c r="AG87" s="36"/>
      <c r="AH87" s="36"/>
      <c r="AI87" s="36"/>
      <c r="AJ87" s="44"/>
    </row>
    <row r="88" spans="1:36" ht="15" x14ac:dyDescent="0.25">
      <c r="A88" s="36">
        <f t="shared" si="1"/>
        <v>3</v>
      </c>
      <c r="B88" s="13"/>
      <c r="C88" s="181"/>
      <c r="D88" s="36" t="str">
        <f>IF(ISBLANK('Estimate Pg 1'!D86),"",'Estimate Pg 1'!D86)</f>
        <v>Proposed Bridge cost includes: substructure, superstructure, fill and asphalt items</v>
      </c>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36"/>
      <c r="AF88" s="36"/>
      <c r="AG88" s="36"/>
      <c r="AH88" s="36"/>
      <c r="AI88" s="36"/>
      <c r="AJ88" s="44"/>
    </row>
    <row r="89" spans="1:36" ht="15" x14ac:dyDescent="0.25">
      <c r="A89" s="13"/>
      <c r="B89" s="13"/>
      <c r="C89" s="36"/>
      <c r="D89" s="36" t="str">
        <f>IF(ISBLANK('Estimate Pg 1'!Q89),"",'Estimate Pg 1'!Q89)</f>
        <v/>
      </c>
      <c r="E89" s="13"/>
      <c r="F89" s="13"/>
      <c r="G89" s="13"/>
      <c r="H89" s="13"/>
      <c r="I89" s="13"/>
      <c r="J89" s="13"/>
      <c r="K89" s="13"/>
      <c r="L89" s="13"/>
      <c r="M89" s="13"/>
      <c r="N89" s="13"/>
      <c r="O89" s="13"/>
      <c r="P89" s="13"/>
      <c r="Q89" s="13"/>
      <c r="R89" s="36"/>
      <c r="S89" s="36"/>
      <c r="T89" s="36"/>
      <c r="U89" s="36"/>
      <c r="V89" s="36"/>
      <c r="W89" s="36"/>
      <c r="X89" s="36"/>
      <c r="Y89" s="36"/>
      <c r="Z89" s="36"/>
      <c r="AA89" s="13"/>
      <c r="AB89" s="13"/>
      <c r="AC89" s="13"/>
      <c r="AD89" s="13"/>
      <c r="AE89" s="36"/>
      <c r="AF89" s="36"/>
      <c r="AG89" s="36"/>
      <c r="AH89" s="36"/>
      <c r="AI89" s="36"/>
      <c r="AJ89" s="44"/>
    </row>
    <row r="90" spans="1:36" ht="15" x14ac:dyDescent="0.25">
      <c r="A90" s="13"/>
      <c r="B90" s="13"/>
      <c r="C90" s="13"/>
      <c r="D90" s="13"/>
      <c r="E90" s="13"/>
      <c r="F90" s="13"/>
      <c r="G90" s="13"/>
      <c r="H90" s="13"/>
      <c r="I90" s="13"/>
      <c r="J90" s="13"/>
      <c r="K90" s="13"/>
      <c r="L90" s="13"/>
      <c r="M90" s="13"/>
      <c r="N90" s="13"/>
      <c r="O90" s="13"/>
      <c r="P90" s="13"/>
      <c r="Q90" s="13"/>
      <c r="R90" s="36"/>
      <c r="S90" s="36"/>
      <c r="T90" s="36"/>
      <c r="U90" s="36"/>
      <c r="V90" s="36"/>
      <c r="W90" s="36"/>
      <c r="X90" s="36"/>
      <c r="Y90" s="36"/>
      <c r="Z90" s="36"/>
      <c r="AA90" s="13"/>
      <c r="AB90" s="13"/>
      <c r="AC90" s="13"/>
      <c r="AD90" s="13"/>
      <c r="AE90" s="36"/>
      <c r="AF90" s="36"/>
      <c r="AG90" s="36"/>
      <c r="AH90" s="36"/>
      <c r="AI90" s="36"/>
      <c r="AJ90" s="44"/>
    </row>
    <row r="91" spans="1:36" ht="15" x14ac:dyDescent="0.25">
      <c r="A91" s="13"/>
      <c r="B91" s="13"/>
      <c r="C91" s="13"/>
      <c r="D91" s="13"/>
      <c r="E91" s="13"/>
      <c r="F91" s="13"/>
      <c r="G91" s="13"/>
      <c r="H91" s="13"/>
      <c r="I91" s="13"/>
      <c r="J91" s="13"/>
      <c r="K91" s="13"/>
      <c r="L91" s="13"/>
      <c r="M91" s="13"/>
      <c r="N91" s="13"/>
      <c r="O91" s="13"/>
      <c r="P91" s="13"/>
      <c r="Q91" s="13"/>
      <c r="R91" s="36"/>
      <c r="S91" s="36"/>
      <c r="T91" s="36"/>
      <c r="U91" s="36"/>
      <c r="V91" s="36"/>
      <c r="W91" s="36"/>
      <c r="X91" s="36"/>
      <c r="Y91" s="36"/>
      <c r="Z91" s="36"/>
      <c r="AA91" s="36"/>
      <c r="AB91" s="36"/>
      <c r="AC91" s="36"/>
      <c r="AD91" s="36"/>
      <c r="AE91" s="36"/>
      <c r="AF91" s="36"/>
      <c r="AG91" s="36"/>
      <c r="AH91" s="36"/>
      <c r="AI91" s="36"/>
      <c r="AJ91" s="44"/>
    </row>
    <row r="92" spans="1:36" ht="15" x14ac:dyDescent="0.25">
      <c r="A92" s="13"/>
      <c r="B92" s="13"/>
      <c r="C92" s="13"/>
      <c r="D92" s="13"/>
      <c r="E92" s="13"/>
      <c r="F92" s="13"/>
      <c r="G92" s="13"/>
      <c r="H92" s="13"/>
      <c r="I92" s="13"/>
      <c r="J92" s="13"/>
      <c r="K92" s="13"/>
      <c r="L92" s="13"/>
      <c r="M92" s="13"/>
      <c r="N92" s="13"/>
      <c r="O92" s="13"/>
      <c r="P92" s="13"/>
      <c r="Q92" s="13"/>
      <c r="R92" s="36"/>
      <c r="S92" s="36"/>
      <c r="T92" s="36"/>
      <c r="U92" s="36"/>
      <c r="V92" s="36"/>
      <c r="W92" s="36"/>
      <c r="X92" s="36"/>
      <c r="Y92" s="36"/>
      <c r="Z92" s="36"/>
      <c r="AA92" s="36"/>
      <c r="AB92" s="36"/>
      <c r="AC92" s="36"/>
      <c r="AD92" s="36"/>
      <c r="AE92" s="36"/>
      <c r="AF92" s="36"/>
      <c r="AG92" s="36"/>
      <c r="AH92" s="36"/>
      <c r="AI92" s="36"/>
      <c r="AJ92" s="44"/>
    </row>
    <row r="93" spans="1:36" ht="15" x14ac:dyDescent="0.25">
      <c r="A93" s="13"/>
      <c r="B93" s="13"/>
      <c r="C93" s="13"/>
      <c r="D93" s="13"/>
      <c r="E93" s="13"/>
      <c r="F93" s="13"/>
      <c r="G93" s="13"/>
      <c r="H93" s="13"/>
      <c r="I93" s="13"/>
      <c r="J93" s="13"/>
      <c r="K93" s="13"/>
      <c r="L93" s="13"/>
      <c r="M93" s="13"/>
      <c r="N93" s="13"/>
      <c r="O93" s="13"/>
      <c r="P93" s="13"/>
      <c r="Q93" s="13"/>
      <c r="R93" s="83"/>
      <c r="S93" s="83"/>
      <c r="T93" s="83"/>
      <c r="U93" s="36"/>
      <c r="V93" s="36"/>
      <c r="W93" s="36"/>
      <c r="X93" s="36"/>
      <c r="Y93" s="36"/>
      <c r="Z93" s="36"/>
      <c r="AA93" s="36"/>
      <c r="AB93" s="36"/>
      <c r="AC93" s="36"/>
      <c r="AD93" s="36"/>
      <c r="AE93" s="36"/>
      <c r="AF93" s="36"/>
      <c r="AG93" s="36"/>
      <c r="AH93" s="36"/>
      <c r="AI93" s="36"/>
      <c r="AJ93" s="44"/>
    </row>
    <row r="94" spans="1:36" ht="15" x14ac:dyDescent="0.25">
      <c r="A94" s="13"/>
      <c r="B94" s="13"/>
      <c r="C94" s="13"/>
      <c r="D94" s="13"/>
      <c r="E94" s="13"/>
      <c r="F94" s="13"/>
      <c r="G94" s="13"/>
      <c r="H94" s="13"/>
      <c r="I94" s="13"/>
      <c r="J94" s="13"/>
      <c r="K94" s="13"/>
      <c r="L94" s="13"/>
      <c r="M94" s="13"/>
      <c r="N94" s="13"/>
      <c r="O94" s="13"/>
      <c r="P94" s="13"/>
      <c r="Q94" s="13"/>
      <c r="R94" s="36"/>
      <c r="S94" s="36"/>
      <c r="T94" s="36"/>
      <c r="U94" s="36"/>
      <c r="V94" s="36"/>
      <c r="W94" s="36"/>
      <c r="X94" s="36"/>
      <c r="Y94" s="36"/>
      <c r="Z94" s="36"/>
      <c r="AA94" s="36"/>
      <c r="AB94" s="36"/>
      <c r="AC94" s="36"/>
      <c r="AD94" s="36"/>
      <c r="AE94" s="36"/>
      <c r="AF94" s="36"/>
      <c r="AG94" s="36"/>
      <c r="AH94" s="36"/>
      <c r="AI94" s="36"/>
      <c r="AJ94" s="44"/>
    </row>
    <row r="95" spans="1:36" ht="15" x14ac:dyDescent="0.25">
      <c r="A95" s="13"/>
      <c r="B95" s="13"/>
      <c r="C95" s="13"/>
      <c r="D95" s="13"/>
      <c r="E95" s="13"/>
      <c r="F95" s="13"/>
      <c r="G95" s="13"/>
      <c r="H95" s="13"/>
      <c r="I95" s="13"/>
      <c r="J95" s="13"/>
      <c r="K95" s="13"/>
      <c r="L95" s="13"/>
      <c r="M95" s="13"/>
      <c r="N95" s="13"/>
      <c r="O95" s="13"/>
      <c r="P95" s="13"/>
      <c r="Q95" s="13"/>
      <c r="R95" s="36"/>
      <c r="S95" s="36"/>
      <c r="T95" s="36"/>
      <c r="U95" s="36"/>
      <c r="V95" s="36"/>
      <c r="W95" s="36"/>
      <c r="X95" s="36"/>
      <c r="Y95" s="36"/>
      <c r="Z95" s="36"/>
      <c r="AA95" s="36"/>
      <c r="AB95" s="36"/>
      <c r="AC95" s="36"/>
      <c r="AD95" s="36"/>
      <c r="AE95" s="36"/>
      <c r="AF95" s="36"/>
      <c r="AG95" s="36"/>
      <c r="AH95" s="36"/>
      <c r="AI95" s="36"/>
      <c r="AJ95" s="44"/>
    </row>
    <row r="96" spans="1:36" ht="15" x14ac:dyDescent="0.25">
      <c r="A96" s="13"/>
      <c r="B96" s="13"/>
      <c r="C96" s="13"/>
      <c r="D96" s="13"/>
      <c r="E96" s="13"/>
      <c r="F96" s="13"/>
      <c r="G96" s="13"/>
      <c r="H96" s="13"/>
      <c r="I96" s="13"/>
      <c r="J96" s="13"/>
      <c r="K96" s="13"/>
      <c r="L96" s="13"/>
      <c r="M96" s="13"/>
      <c r="N96" s="13"/>
      <c r="O96" s="13"/>
      <c r="P96" s="13"/>
      <c r="Q96" s="13"/>
      <c r="R96" s="36"/>
      <c r="S96" s="36"/>
      <c r="T96" s="36"/>
      <c r="U96" s="36"/>
      <c r="V96" s="36"/>
      <c r="W96" s="36"/>
      <c r="X96" s="36"/>
      <c r="Y96" s="36"/>
      <c r="Z96" s="36"/>
      <c r="AA96" s="36"/>
      <c r="AB96" s="36"/>
      <c r="AC96" s="36"/>
      <c r="AD96" s="36"/>
      <c r="AE96" s="36"/>
      <c r="AF96" s="36"/>
      <c r="AG96" s="36"/>
      <c r="AH96" s="36"/>
      <c r="AI96" s="36"/>
      <c r="AJ96" s="44"/>
    </row>
    <row r="97" spans="1:36" ht="15" x14ac:dyDescent="0.25">
      <c r="A97" s="13"/>
      <c r="B97" s="13"/>
      <c r="C97" s="13"/>
      <c r="D97" s="13"/>
      <c r="E97" s="13"/>
      <c r="F97" s="13"/>
      <c r="G97" s="13"/>
      <c r="H97" s="13"/>
      <c r="I97" s="13"/>
      <c r="J97" s="13"/>
      <c r="K97" s="13"/>
      <c r="L97" s="13"/>
      <c r="M97" s="13"/>
      <c r="N97" s="13"/>
      <c r="O97" s="13"/>
      <c r="P97" s="13"/>
      <c r="Q97" s="13"/>
      <c r="R97" s="36"/>
      <c r="S97" s="36"/>
      <c r="T97" s="36"/>
      <c r="U97" s="36"/>
      <c r="V97" s="36"/>
      <c r="W97" s="36"/>
      <c r="X97" s="36"/>
      <c r="Y97" s="36"/>
      <c r="Z97" s="36"/>
      <c r="AA97" s="36"/>
      <c r="AB97" s="36"/>
      <c r="AC97" s="36"/>
      <c r="AD97" s="36"/>
      <c r="AE97" s="36"/>
      <c r="AF97" s="36"/>
      <c r="AG97" s="36"/>
      <c r="AH97" s="36"/>
      <c r="AI97" s="36"/>
      <c r="AJ97" s="44"/>
    </row>
    <row r="98" spans="1:36" ht="15" x14ac:dyDescent="0.25">
      <c r="A98" s="13"/>
      <c r="B98" s="13"/>
      <c r="C98" s="13"/>
      <c r="D98" s="13"/>
      <c r="E98" s="13"/>
      <c r="F98" s="13"/>
      <c r="G98" s="13"/>
      <c r="H98" s="13"/>
      <c r="I98" s="13"/>
      <c r="J98" s="13"/>
      <c r="K98" s="13"/>
      <c r="L98" s="13"/>
      <c r="M98" s="13"/>
      <c r="N98" s="13"/>
      <c r="O98" s="13"/>
      <c r="P98" s="13"/>
      <c r="Q98" s="13"/>
      <c r="R98" s="36"/>
      <c r="S98" s="36"/>
      <c r="T98" s="36"/>
      <c r="U98" s="36"/>
      <c r="V98" s="36"/>
      <c r="W98" s="36"/>
      <c r="X98" s="36"/>
      <c r="Y98" s="36"/>
      <c r="Z98" s="36"/>
      <c r="AA98" s="36"/>
      <c r="AB98" s="36"/>
      <c r="AC98" s="36"/>
      <c r="AD98" s="36"/>
      <c r="AE98" s="36"/>
      <c r="AF98" s="36"/>
      <c r="AG98" s="36"/>
      <c r="AH98" s="36"/>
      <c r="AI98" s="36"/>
      <c r="AJ98" s="44"/>
    </row>
    <row r="99" spans="1:36" ht="15" x14ac:dyDescent="0.25">
      <c r="A99" s="13"/>
      <c r="B99" s="13"/>
      <c r="C99" s="13"/>
      <c r="D99" s="13"/>
      <c r="E99" s="13"/>
      <c r="F99" s="13"/>
      <c r="G99" s="13"/>
      <c r="H99" s="13"/>
      <c r="I99" s="13"/>
      <c r="J99" s="13"/>
      <c r="K99" s="13"/>
      <c r="L99" s="13"/>
      <c r="M99" s="13"/>
      <c r="N99" s="13"/>
      <c r="O99" s="13"/>
      <c r="P99" s="13"/>
      <c r="Q99" s="13"/>
      <c r="R99" s="36"/>
      <c r="S99" s="36"/>
      <c r="T99" s="36"/>
      <c r="U99" s="36"/>
      <c r="V99" s="36"/>
      <c r="W99" s="36"/>
      <c r="X99" s="36"/>
      <c r="Y99" s="36"/>
      <c r="Z99" s="36"/>
      <c r="AA99" s="36"/>
      <c r="AB99" s="36"/>
      <c r="AC99" s="36"/>
      <c r="AD99" s="36"/>
      <c r="AE99" s="36"/>
      <c r="AF99" s="36"/>
      <c r="AG99" s="36"/>
      <c r="AH99" s="36"/>
      <c r="AI99" s="36"/>
      <c r="AJ99" s="44"/>
    </row>
    <row r="100" spans="1:36" ht="15" x14ac:dyDescent="0.25">
      <c r="A100" s="13"/>
      <c r="B100" s="13"/>
      <c r="C100" s="13"/>
      <c r="D100" s="13"/>
      <c r="E100" s="13"/>
      <c r="F100" s="13"/>
      <c r="G100" s="13"/>
      <c r="H100" s="13"/>
      <c r="I100" s="13"/>
      <c r="J100" s="13"/>
      <c r="K100" s="13"/>
      <c r="L100" s="13"/>
      <c r="M100" s="13"/>
      <c r="N100" s="13"/>
      <c r="O100" s="13"/>
      <c r="P100" s="13"/>
      <c r="Q100" s="13"/>
      <c r="R100" s="36"/>
      <c r="S100" s="36"/>
      <c r="T100" s="36"/>
      <c r="U100" s="36"/>
      <c r="V100" s="36"/>
      <c r="W100" s="36"/>
      <c r="X100" s="36"/>
      <c r="Y100" s="36"/>
      <c r="Z100" s="36"/>
      <c r="AA100" s="36"/>
      <c r="AB100" s="36"/>
      <c r="AC100" s="36"/>
      <c r="AD100" s="36"/>
      <c r="AE100" s="36"/>
      <c r="AF100" s="36"/>
      <c r="AG100" s="36"/>
      <c r="AH100" s="36"/>
      <c r="AI100" s="36"/>
      <c r="AJ100" s="44"/>
    </row>
    <row r="101" spans="1:36" ht="15" x14ac:dyDescent="0.25">
      <c r="A101" s="13"/>
      <c r="B101" s="13"/>
      <c r="C101" s="13"/>
      <c r="D101" s="13"/>
      <c r="E101" s="13"/>
      <c r="F101" s="13"/>
      <c r="G101" s="13"/>
      <c r="H101" s="13"/>
      <c r="I101" s="13"/>
      <c r="J101" s="13"/>
      <c r="K101" s="13"/>
      <c r="L101" s="13"/>
      <c r="M101" s="13"/>
      <c r="N101" s="13"/>
      <c r="O101" s="13"/>
      <c r="P101" s="13"/>
      <c r="Q101" s="13"/>
      <c r="R101" s="36"/>
      <c r="S101" s="36"/>
      <c r="T101" s="36"/>
      <c r="U101" s="36"/>
      <c r="V101" s="36"/>
      <c r="W101" s="36"/>
      <c r="X101" s="36"/>
      <c r="Y101" s="36"/>
      <c r="Z101" s="36"/>
      <c r="AA101" s="36"/>
      <c r="AB101" s="36"/>
      <c r="AC101" s="36"/>
      <c r="AD101" s="36"/>
      <c r="AE101" s="36"/>
      <c r="AF101" s="36"/>
      <c r="AG101" s="36"/>
      <c r="AH101" s="36"/>
      <c r="AI101" s="36"/>
      <c r="AJ101" s="44"/>
    </row>
    <row r="102" spans="1:36" ht="15" x14ac:dyDescent="0.25">
      <c r="A102" s="13"/>
      <c r="B102" s="13"/>
      <c r="C102" s="13"/>
      <c r="D102" s="13"/>
      <c r="E102" s="13"/>
      <c r="F102" s="13"/>
      <c r="G102" s="13"/>
      <c r="H102" s="13"/>
      <c r="I102" s="13"/>
      <c r="J102" s="13"/>
      <c r="K102" s="13"/>
      <c r="L102" s="13"/>
      <c r="M102" s="13"/>
      <c r="N102" s="13"/>
      <c r="O102" s="13"/>
      <c r="P102" s="13"/>
      <c r="Q102" s="13"/>
      <c r="R102" s="36"/>
      <c r="S102" s="36"/>
      <c r="T102" s="36"/>
      <c r="U102" s="36"/>
      <c r="V102" s="36"/>
      <c r="W102" s="36"/>
      <c r="X102" s="36"/>
      <c r="Y102" s="36"/>
      <c r="Z102" s="36"/>
      <c r="AA102" s="36"/>
      <c r="AB102" s="36"/>
      <c r="AC102" s="36"/>
      <c r="AD102" s="36"/>
      <c r="AE102" s="36"/>
      <c r="AF102" s="36"/>
      <c r="AG102" s="36"/>
      <c r="AH102" s="36"/>
      <c r="AI102" s="36"/>
      <c r="AJ102" s="44"/>
    </row>
    <row r="103" spans="1:36" ht="15" x14ac:dyDescent="0.25">
      <c r="A103" s="13"/>
      <c r="B103" s="13"/>
      <c r="C103" s="13"/>
      <c r="D103" s="13"/>
      <c r="E103" s="13"/>
      <c r="F103" s="13"/>
      <c r="G103" s="13"/>
      <c r="H103" s="13"/>
      <c r="I103" s="13"/>
      <c r="J103" s="13"/>
      <c r="K103" s="13"/>
      <c r="L103" s="13"/>
      <c r="M103" s="13"/>
      <c r="N103" s="13"/>
      <c r="O103" s="13"/>
      <c r="P103" s="13"/>
      <c r="Q103" s="13"/>
      <c r="R103" s="36"/>
      <c r="S103" s="36"/>
      <c r="T103" s="36"/>
      <c r="U103" s="36"/>
      <c r="V103" s="36"/>
      <c r="W103" s="36"/>
      <c r="X103" s="36"/>
      <c r="Y103" s="36"/>
      <c r="Z103" s="36"/>
      <c r="AA103" s="36"/>
      <c r="AB103" s="36"/>
      <c r="AC103" s="36"/>
      <c r="AD103" s="36"/>
      <c r="AE103" s="36"/>
      <c r="AF103" s="36"/>
      <c r="AG103" s="36"/>
      <c r="AH103" s="36"/>
      <c r="AI103" s="36"/>
      <c r="AJ103" s="44"/>
    </row>
    <row r="104" spans="1:36" ht="15" x14ac:dyDescent="0.25">
      <c r="A104" s="13"/>
      <c r="B104" s="13"/>
      <c r="C104" s="13"/>
      <c r="D104" s="13"/>
      <c r="E104" s="13"/>
      <c r="F104" s="13"/>
      <c r="G104" s="13"/>
      <c r="H104" s="13"/>
      <c r="I104" s="13"/>
      <c r="J104" s="13"/>
      <c r="K104" s="13"/>
      <c r="L104" s="13"/>
      <c r="M104" s="13"/>
      <c r="N104" s="13"/>
      <c r="O104" s="13"/>
      <c r="P104" s="13"/>
      <c r="Q104" s="13"/>
      <c r="R104" s="36"/>
      <c r="S104" s="36"/>
      <c r="T104" s="36"/>
      <c r="U104" s="36"/>
      <c r="V104" s="36"/>
      <c r="W104" s="36"/>
      <c r="X104" s="36"/>
      <c r="Y104" s="36"/>
      <c r="Z104" s="36"/>
      <c r="AA104" s="36"/>
      <c r="AB104" s="36"/>
      <c r="AC104" s="36"/>
      <c r="AD104" s="36"/>
      <c r="AE104" s="36"/>
      <c r="AF104" s="36"/>
      <c r="AG104" s="36"/>
      <c r="AH104" s="36"/>
      <c r="AI104" s="36"/>
      <c r="AJ104" s="44"/>
    </row>
    <row r="105" spans="1:36" ht="15" x14ac:dyDescent="0.25">
      <c r="A105" s="13"/>
      <c r="B105" s="13"/>
      <c r="C105" s="13"/>
      <c r="D105" s="13"/>
      <c r="E105" s="13"/>
      <c r="F105" s="13"/>
      <c r="G105" s="13"/>
      <c r="H105" s="13"/>
      <c r="I105" s="13"/>
      <c r="J105" s="13"/>
      <c r="K105" s="13"/>
      <c r="L105" s="13"/>
      <c r="M105" s="13"/>
      <c r="N105" s="13"/>
      <c r="O105" s="13"/>
      <c r="P105" s="13"/>
      <c r="Q105" s="13"/>
      <c r="R105" s="36"/>
      <c r="S105" s="36"/>
      <c r="T105" s="36"/>
      <c r="U105" s="36"/>
      <c r="V105" s="36"/>
      <c r="W105" s="36"/>
      <c r="X105" s="36"/>
      <c r="Y105" s="36"/>
      <c r="Z105" s="36"/>
      <c r="AA105" s="36"/>
      <c r="AB105" s="36"/>
      <c r="AC105" s="36"/>
      <c r="AD105" s="36"/>
      <c r="AE105" s="36"/>
      <c r="AF105" s="36"/>
      <c r="AG105" s="36"/>
      <c r="AH105" s="36"/>
      <c r="AI105" s="36"/>
      <c r="AJ105" s="44"/>
    </row>
    <row r="106" spans="1:36" ht="15" x14ac:dyDescent="0.25">
      <c r="A106" s="13"/>
      <c r="B106" s="13"/>
      <c r="C106" s="13"/>
      <c r="D106" s="13"/>
      <c r="E106" s="13"/>
      <c r="F106" s="13"/>
      <c r="G106" s="13"/>
      <c r="H106" s="13"/>
      <c r="I106" s="13"/>
      <c r="J106" s="13"/>
      <c r="K106" s="13"/>
      <c r="L106" s="13"/>
      <c r="M106" s="13"/>
      <c r="N106" s="13"/>
      <c r="O106" s="13"/>
      <c r="P106" s="13"/>
      <c r="Q106" s="13"/>
      <c r="R106" s="36"/>
      <c r="S106" s="36"/>
      <c r="T106" s="36"/>
      <c r="U106" s="36"/>
      <c r="V106" s="36"/>
      <c r="W106" s="36"/>
      <c r="X106" s="36"/>
      <c r="Y106" s="36"/>
      <c r="Z106" s="36"/>
      <c r="AA106" s="36"/>
      <c r="AB106" s="36"/>
      <c r="AC106" s="36"/>
      <c r="AD106" s="36"/>
      <c r="AE106" s="36"/>
      <c r="AF106" s="36"/>
      <c r="AG106" s="36"/>
      <c r="AH106" s="36"/>
      <c r="AI106" s="36"/>
      <c r="AJ106" s="44"/>
    </row>
    <row r="107" spans="1:36" ht="15" x14ac:dyDescent="0.25">
      <c r="A107" s="13"/>
      <c r="B107" s="13"/>
      <c r="C107" s="13"/>
      <c r="D107" s="13"/>
      <c r="E107" s="13"/>
      <c r="F107" s="13"/>
      <c r="G107" s="13"/>
      <c r="H107" s="13"/>
      <c r="I107" s="13"/>
      <c r="J107" s="13"/>
      <c r="K107" s="13"/>
      <c r="L107" s="13"/>
      <c r="M107" s="13"/>
      <c r="N107" s="13"/>
      <c r="O107" s="13"/>
      <c r="P107" s="13"/>
      <c r="Q107" s="13"/>
      <c r="R107" s="36"/>
      <c r="S107" s="36"/>
      <c r="T107" s="36"/>
      <c r="U107" s="36"/>
      <c r="V107" s="36"/>
      <c r="W107" s="36"/>
      <c r="X107" s="36"/>
      <c r="Y107" s="36"/>
      <c r="Z107" s="36"/>
      <c r="AA107" s="36"/>
      <c r="AB107" s="36"/>
      <c r="AC107" s="36"/>
      <c r="AD107" s="36"/>
      <c r="AE107" s="36"/>
      <c r="AF107" s="36"/>
      <c r="AG107" s="36"/>
      <c r="AH107" s="36"/>
      <c r="AI107" s="36"/>
      <c r="AJ107" s="44"/>
    </row>
    <row r="108" spans="1:36" ht="15" x14ac:dyDescent="0.25">
      <c r="A108" s="13"/>
      <c r="B108" s="13"/>
      <c r="C108" s="13"/>
      <c r="D108" s="13"/>
      <c r="E108" s="13"/>
      <c r="F108" s="13"/>
      <c r="G108" s="13"/>
      <c r="H108" s="13"/>
      <c r="I108" s="13"/>
      <c r="J108" s="13"/>
      <c r="K108" s="13"/>
      <c r="L108" s="13"/>
      <c r="M108" s="13"/>
      <c r="N108" s="13"/>
      <c r="O108" s="13"/>
      <c r="P108" s="13"/>
      <c r="Q108" s="13"/>
      <c r="R108" s="36"/>
      <c r="S108" s="36"/>
      <c r="T108" s="36"/>
      <c r="U108" s="36"/>
      <c r="V108" s="36"/>
      <c r="W108" s="36"/>
      <c r="X108" s="36"/>
      <c r="Y108" s="36"/>
      <c r="Z108" s="36"/>
      <c r="AA108" s="36"/>
      <c r="AB108" s="36"/>
      <c r="AC108" s="36"/>
      <c r="AD108" s="36"/>
      <c r="AE108" s="36"/>
      <c r="AF108" s="36"/>
      <c r="AG108" s="36"/>
      <c r="AH108" s="36"/>
      <c r="AI108" s="36"/>
      <c r="AJ108" s="44"/>
    </row>
    <row r="109" spans="1:36" ht="15" x14ac:dyDescent="0.25">
      <c r="A109" s="13"/>
      <c r="B109" s="13"/>
      <c r="C109" s="13"/>
      <c r="D109" s="13"/>
      <c r="E109" s="13"/>
      <c r="F109" s="13"/>
      <c r="G109" s="13"/>
      <c r="H109" s="13"/>
      <c r="I109" s="13"/>
      <c r="J109" s="13"/>
      <c r="K109" s="13"/>
      <c r="L109" s="13"/>
      <c r="M109" s="13"/>
      <c r="N109" s="13"/>
      <c r="O109" s="13"/>
      <c r="P109" s="13"/>
      <c r="Q109" s="13"/>
      <c r="R109" s="36"/>
      <c r="S109" s="36"/>
      <c r="T109" s="36"/>
      <c r="U109" s="36"/>
      <c r="V109" s="36"/>
      <c r="W109" s="36"/>
      <c r="X109" s="36"/>
      <c r="Y109" s="36"/>
      <c r="Z109" s="36"/>
      <c r="AA109" s="36"/>
      <c r="AB109" s="36"/>
      <c r="AC109" s="36"/>
      <c r="AD109" s="36"/>
      <c r="AE109" s="36"/>
      <c r="AF109" s="36"/>
      <c r="AG109" s="36"/>
      <c r="AH109" s="36"/>
      <c r="AI109" s="36"/>
      <c r="AJ109" s="44"/>
    </row>
    <row r="110" spans="1:36" ht="15" x14ac:dyDescent="0.25">
      <c r="A110" s="13"/>
      <c r="B110" s="13"/>
      <c r="C110" s="13"/>
      <c r="D110" s="13"/>
      <c r="E110" s="13"/>
      <c r="F110" s="13"/>
      <c r="G110" s="13"/>
      <c r="H110" s="13"/>
      <c r="I110" s="13"/>
      <c r="J110" s="13"/>
      <c r="K110" s="13"/>
      <c r="L110" s="13"/>
      <c r="M110" s="13"/>
      <c r="N110" s="13"/>
      <c r="O110" s="13"/>
      <c r="P110" s="13"/>
      <c r="Q110" s="13"/>
      <c r="R110" s="36"/>
      <c r="S110" s="36"/>
      <c r="T110" s="36"/>
      <c r="U110" s="36"/>
      <c r="V110" s="36"/>
      <c r="W110" s="36"/>
      <c r="X110" s="36"/>
      <c r="Y110" s="36"/>
      <c r="Z110" s="36"/>
      <c r="AA110" s="36"/>
      <c r="AB110" s="36"/>
      <c r="AC110" s="36"/>
      <c r="AD110" s="36"/>
      <c r="AE110" s="36"/>
      <c r="AF110" s="36"/>
      <c r="AG110" s="36"/>
      <c r="AH110" s="36"/>
      <c r="AI110" s="36"/>
      <c r="AJ110" s="44"/>
    </row>
    <row r="111" spans="1:36" ht="15" x14ac:dyDescent="0.25">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44"/>
    </row>
    <row r="112" spans="1:36" ht="15" x14ac:dyDescent="0.25">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44"/>
    </row>
    <row r="113" spans="1:36" ht="15" x14ac:dyDescent="0.25">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44"/>
    </row>
    <row r="114" spans="1:36" ht="15" x14ac:dyDescent="0.25">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44"/>
    </row>
    <row r="115" spans="1:36" ht="15" x14ac:dyDescent="0.25">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44"/>
    </row>
    <row r="116" spans="1:36" ht="15" x14ac:dyDescent="0.25">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44"/>
    </row>
    <row r="117" spans="1:36" ht="15" x14ac:dyDescent="0.25">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44"/>
    </row>
    <row r="118" spans="1:36" ht="15" x14ac:dyDescent="0.25">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44"/>
    </row>
    <row r="119" spans="1:36" ht="15" x14ac:dyDescent="0.25">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44"/>
    </row>
    <row r="120" spans="1:36" ht="15" x14ac:dyDescent="0.25">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44"/>
    </row>
    <row r="121" spans="1:36" ht="15" x14ac:dyDescent="0.25">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44"/>
    </row>
    <row r="122" spans="1:36" ht="15" x14ac:dyDescent="0.25">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44"/>
    </row>
    <row r="123" spans="1:36" ht="15" x14ac:dyDescent="0.25">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44"/>
    </row>
    <row r="124" spans="1:36" ht="15" x14ac:dyDescent="0.25">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44"/>
    </row>
    <row r="125" spans="1:36" ht="15" x14ac:dyDescent="0.25">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44"/>
    </row>
    <row r="126" spans="1:36" ht="15" x14ac:dyDescent="0.25">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44"/>
    </row>
    <row r="127" spans="1:36" ht="15" x14ac:dyDescent="0.25">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44"/>
    </row>
    <row r="128" spans="1:36" ht="15" x14ac:dyDescent="0.25">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44"/>
    </row>
    <row r="129" spans="1:36" ht="15" x14ac:dyDescent="0.25">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44"/>
    </row>
    <row r="130" spans="1:36" ht="15" x14ac:dyDescent="0.25">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44"/>
    </row>
    <row r="131" spans="1:36" ht="15" x14ac:dyDescent="0.25">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44"/>
    </row>
    <row r="132" spans="1:36" ht="15" x14ac:dyDescent="0.25">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44"/>
    </row>
    <row r="133" spans="1:36" ht="15" x14ac:dyDescent="0.25">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45"/>
    </row>
    <row r="134" spans="1:36" ht="15" x14ac:dyDescent="0.25">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44"/>
    </row>
    <row r="135" spans="1:36" ht="15" x14ac:dyDescent="0.25">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82"/>
    </row>
    <row r="136" spans="1:36" ht="15" x14ac:dyDescent="0.25">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82"/>
    </row>
    <row r="137" spans="1:36" ht="15" x14ac:dyDescent="0.25">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82"/>
    </row>
    <row r="138" spans="1:36" x14ac:dyDescent="0.2">
      <c r="AJ138" s="6"/>
    </row>
    <row r="139" spans="1:36" x14ac:dyDescent="0.2">
      <c r="AJ139" s="6"/>
    </row>
    <row r="140" spans="1:36" x14ac:dyDescent="0.2">
      <c r="AJ140" s="6"/>
    </row>
    <row r="141" spans="1:36" x14ac:dyDescent="0.2">
      <c r="AJ141" s="6"/>
    </row>
    <row r="142" spans="1:36" x14ac:dyDescent="0.2">
      <c r="AJ142" s="6"/>
    </row>
    <row r="143" spans="1:36" x14ac:dyDescent="0.2">
      <c r="AJ143" s="6"/>
    </row>
    <row r="144" spans="1:36" x14ac:dyDescent="0.2">
      <c r="AJ144" s="6"/>
    </row>
    <row r="145" spans="36:36" x14ac:dyDescent="0.2">
      <c r="AJ145" s="6"/>
    </row>
    <row r="146" spans="36:36" x14ac:dyDescent="0.2">
      <c r="AJ146" s="6"/>
    </row>
    <row r="147" spans="36:36" x14ac:dyDescent="0.2">
      <c r="AJ147" s="6"/>
    </row>
    <row r="148" spans="36:36" x14ac:dyDescent="0.2">
      <c r="AJ148" s="6"/>
    </row>
    <row r="149" spans="36:36" x14ac:dyDescent="0.2">
      <c r="AJ149" s="6"/>
    </row>
    <row r="150" spans="36:36" x14ac:dyDescent="0.2">
      <c r="AJ150" s="6"/>
    </row>
    <row r="151" spans="36:36" x14ac:dyDescent="0.2">
      <c r="AJ151" s="6"/>
    </row>
    <row r="152" spans="36:36" x14ac:dyDescent="0.2">
      <c r="AJ152" s="6"/>
    </row>
    <row r="153" spans="36:36" x14ac:dyDescent="0.2">
      <c r="AJ153" s="6"/>
    </row>
    <row r="154" spans="36:36" x14ac:dyDescent="0.2">
      <c r="AJ154" s="6"/>
    </row>
    <row r="155" spans="36:36" x14ac:dyDescent="0.2">
      <c r="AJ155" s="6"/>
    </row>
    <row r="156" spans="36:36" x14ac:dyDescent="0.2">
      <c r="AJ156" s="6"/>
    </row>
    <row r="157" spans="36:36" x14ac:dyDescent="0.2">
      <c r="AJ157" s="6"/>
    </row>
    <row r="158" spans="36:36" x14ac:dyDescent="0.2">
      <c r="AJ158" s="6"/>
    </row>
    <row r="159" spans="36:36" x14ac:dyDescent="0.2">
      <c r="AJ159" s="6"/>
    </row>
    <row r="160" spans="36:36" x14ac:dyDescent="0.2">
      <c r="AJ160" s="6"/>
    </row>
    <row r="161" spans="36:36" x14ac:dyDescent="0.2">
      <c r="AJ161" s="6"/>
    </row>
    <row r="162" spans="36:36" x14ac:dyDescent="0.2">
      <c r="AJ162" s="6"/>
    </row>
    <row r="163" spans="36:36" x14ac:dyDescent="0.2">
      <c r="AJ163" s="6"/>
    </row>
    <row r="164" spans="36:36" x14ac:dyDescent="0.2">
      <c r="AJ164" s="6"/>
    </row>
    <row r="165" spans="36:36" x14ac:dyDescent="0.2">
      <c r="AJ165" s="6"/>
    </row>
    <row r="166" spans="36:36" x14ac:dyDescent="0.2">
      <c r="AJ166" s="6"/>
    </row>
    <row r="167" spans="36:36" x14ac:dyDescent="0.2">
      <c r="AJ167" s="6"/>
    </row>
    <row r="168" spans="36:36" x14ac:dyDescent="0.2">
      <c r="AJ168" s="6"/>
    </row>
    <row r="169" spans="36:36" x14ac:dyDescent="0.2">
      <c r="AJ169" s="6"/>
    </row>
    <row r="170" spans="36:36" x14ac:dyDescent="0.2">
      <c r="AJ170" s="6"/>
    </row>
    <row r="171" spans="36:36" x14ac:dyDescent="0.2">
      <c r="AJ171" s="6"/>
    </row>
    <row r="172" spans="36:36" x14ac:dyDescent="0.2">
      <c r="AJ172" s="6"/>
    </row>
    <row r="173" spans="36:36" x14ac:dyDescent="0.2">
      <c r="AJ173" s="6"/>
    </row>
    <row r="174" spans="36:36" x14ac:dyDescent="0.2">
      <c r="AJ174" s="6"/>
    </row>
    <row r="175" spans="36:36" x14ac:dyDescent="0.2">
      <c r="AJ175" s="6"/>
    </row>
    <row r="176" spans="36:36" x14ac:dyDescent="0.2">
      <c r="AJ176" s="6"/>
    </row>
    <row r="177" spans="36:36" x14ac:dyDescent="0.2">
      <c r="AJ177" s="6"/>
    </row>
    <row r="178" spans="36:36" x14ac:dyDescent="0.2">
      <c r="AJ178" s="6"/>
    </row>
    <row r="179" spans="36:36" x14ac:dyDescent="0.2">
      <c r="AJ179" s="6"/>
    </row>
    <row r="180" spans="36:36" x14ac:dyDescent="0.2">
      <c r="AJ180" s="6"/>
    </row>
    <row r="181" spans="36:36" x14ac:dyDescent="0.2">
      <c r="AJ181" s="6"/>
    </row>
    <row r="182" spans="36:36" x14ac:dyDescent="0.2">
      <c r="AJ182" s="6"/>
    </row>
    <row r="183" spans="36:36" x14ac:dyDescent="0.2">
      <c r="AJ183" s="6"/>
    </row>
    <row r="184" spans="36:36" x14ac:dyDescent="0.2">
      <c r="AJ184" s="6"/>
    </row>
    <row r="185" spans="36:36" x14ac:dyDescent="0.2">
      <c r="AJ185" s="6"/>
    </row>
    <row r="186" spans="36:36" x14ac:dyDescent="0.2">
      <c r="AJ186" s="6"/>
    </row>
    <row r="187" spans="36:36" x14ac:dyDescent="0.2">
      <c r="AJ187" s="6"/>
    </row>
    <row r="188" spans="36:36" x14ac:dyDescent="0.2">
      <c r="AJ188" s="6"/>
    </row>
    <row r="189" spans="36:36" x14ac:dyDescent="0.2">
      <c r="AJ189" s="6"/>
    </row>
    <row r="190" spans="36:36" x14ac:dyDescent="0.2">
      <c r="AJ190" s="6"/>
    </row>
    <row r="191" spans="36:36" x14ac:dyDescent="0.2">
      <c r="AJ191" s="6"/>
    </row>
    <row r="192" spans="36:36" x14ac:dyDescent="0.2">
      <c r="AJ192" s="6"/>
    </row>
    <row r="193" spans="36:36" x14ac:dyDescent="0.2">
      <c r="AJ193" s="6"/>
    </row>
    <row r="194" spans="36:36" x14ac:dyDescent="0.2">
      <c r="AJ194" s="6"/>
    </row>
    <row r="195" spans="36:36" x14ac:dyDescent="0.2">
      <c r="AJ195" s="6"/>
    </row>
    <row r="196" spans="36:36" x14ac:dyDescent="0.2">
      <c r="AJ196" s="6"/>
    </row>
    <row r="197" spans="36:36" x14ac:dyDescent="0.2">
      <c r="AJ197" s="6"/>
    </row>
    <row r="198" spans="36:36" x14ac:dyDescent="0.2">
      <c r="AJ198" s="6"/>
    </row>
    <row r="199" spans="36:36" x14ac:dyDescent="0.2">
      <c r="AJ199" s="6"/>
    </row>
    <row r="200" spans="36:36" x14ac:dyDescent="0.2">
      <c r="AJ200" s="6"/>
    </row>
    <row r="201" spans="36:36" x14ac:dyDescent="0.2">
      <c r="AJ201" s="6"/>
    </row>
    <row r="202" spans="36:36" x14ac:dyDescent="0.2">
      <c r="AJ202" s="6"/>
    </row>
    <row r="203" spans="36:36" x14ac:dyDescent="0.2">
      <c r="AJ203" s="6"/>
    </row>
    <row r="204" spans="36:36" x14ac:dyDescent="0.2">
      <c r="AJ204" s="6"/>
    </row>
    <row r="205" spans="36:36" x14ac:dyDescent="0.2">
      <c r="AJ205" s="6"/>
    </row>
    <row r="206" spans="36:36" x14ac:dyDescent="0.2">
      <c r="AJ206" s="6"/>
    </row>
    <row r="207" spans="36:36" x14ac:dyDescent="0.2">
      <c r="AJ207" s="6"/>
    </row>
    <row r="208" spans="36:36" x14ac:dyDescent="0.2">
      <c r="AJ208" s="6"/>
    </row>
    <row r="209" spans="36:36" x14ac:dyDescent="0.2">
      <c r="AJ209" s="6"/>
    </row>
    <row r="210" spans="36:36" x14ac:dyDescent="0.2">
      <c r="AJ210" s="6"/>
    </row>
    <row r="211" spans="36:36" x14ac:dyDescent="0.2">
      <c r="AJ211" s="6"/>
    </row>
    <row r="212" spans="36:36" x14ac:dyDescent="0.2">
      <c r="AJ212" s="6"/>
    </row>
    <row r="213" spans="36:36" x14ac:dyDescent="0.2">
      <c r="AJ213" s="6"/>
    </row>
    <row r="214" spans="36:36" x14ac:dyDescent="0.2">
      <c r="AJ214" s="6"/>
    </row>
    <row r="215" spans="36:36" x14ac:dyDescent="0.2">
      <c r="AJ215" s="6"/>
    </row>
    <row r="216" spans="36:36" x14ac:dyDescent="0.2">
      <c r="AJ216" s="6"/>
    </row>
    <row r="217" spans="36:36" x14ac:dyDescent="0.2">
      <c r="AJ217" s="6"/>
    </row>
    <row r="218" spans="36:36" x14ac:dyDescent="0.2">
      <c r="AJ218" s="6"/>
    </row>
    <row r="219" spans="36:36" x14ac:dyDescent="0.2">
      <c r="AJ219" s="6"/>
    </row>
    <row r="220" spans="36:36" x14ac:dyDescent="0.2">
      <c r="AJ220" s="6"/>
    </row>
    <row r="221" spans="36:36" x14ac:dyDescent="0.2">
      <c r="AJ221" s="6"/>
    </row>
    <row r="222" spans="36:36" x14ac:dyDescent="0.2">
      <c r="AJ222" s="6"/>
    </row>
    <row r="223" spans="36:36" x14ac:dyDescent="0.2">
      <c r="AJ223" s="6"/>
    </row>
    <row r="224" spans="36:36" x14ac:dyDescent="0.2">
      <c r="AJ224" s="6"/>
    </row>
    <row r="225" spans="36:36" x14ac:dyDescent="0.2">
      <c r="AJ225" s="6"/>
    </row>
    <row r="226" spans="36:36" x14ac:dyDescent="0.2">
      <c r="AJ226" s="6"/>
    </row>
    <row r="227" spans="36:36" x14ac:dyDescent="0.2">
      <c r="AJ227" s="6"/>
    </row>
    <row r="228" spans="36:36" x14ac:dyDescent="0.2">
      <c r="AJ228" s="6"/>
    </row>
    <row r="229" spans="36:36" x14ac:dyDescent="0.2">
      <c r="AJ229" s="6"/>
    </row>
    <row r="230" spans="36:36" x14ac:dyDescent="0.2">
      <c r="AJ230" s="6"/>
    </row>
    <row r="231" spans="36:36" x14ac:dyDescent="0.2">
      <c r="AJ231" s="6"/>
    </row>
    <row r="232" spans="36:36" x14ac:dyDescent="0.2">
      <c r="AJ232" s="6"/>
    </row>
    <row r="233" spans="36:36" x14ac:dyDescent="0.2">
      <c r="AJ233" s="6"/>
    </row>
    <row r="234" spans="36:36" x14ac:dyDescent="0.2">
      <c r="AJ234" s="6"/>
    </row>
    <row r="235" spans="36:36" x14ac:dyDescent="0.2">
      <c r="AJ235" s="6"/>
    </row>
    <row r="236" spans="36:36" x14ac:dyDescent="0.2">
      <c r="AJ236" s="6"/>
    </row>
    <row r="237" spans="36:36" x14ac:dyDescent="0.2">
      <c r="AJ237" s="6"/>
    </row>
    <row r="238" spans="36:36" x14ac:dyDescent="0.2">
      <c r="AJ238" s="6"/>
    </row>
    <row r="239" spans="36:36" x14ac:dyDescent="0.2">
      <c r="AJ239" s="6"/>
    </row>
    <row r="240" spans="36:36" x14ac:dyDescent="0.2">
      <c r="AJ240" s="6"/>
    </row>
    <row r="241" spans="36:36" x14ac:dyDescent="0.2">
      <c r="AJ241" s="6"/>
    </row>
    <row r="242" spans="36:36" x14ac:dyDescent="0.2">
      <c r="AJ242" s="6"/>
    </row>
    <row r="243" spans="36:36" x14ac:dyDescent="0.2">
      <c r="AJ243" s="6"/>
    </row>
    <row r="244" spans="36:36" x14ac:dyDescent="0.2">
      <c r="AJ244" s="6"/>
    </row>
    <row r="245" spans="36:36" x14ac:dyDescent="0.2">
      <c r="AJ245" s="6"/>
    </row>
    <row r="246" spans="36:36" x14ac:dyDescent="0.2">
      <c r="AJ246" s="6"/>
    </row>
    <row r="247" spans="36:36" x14ac:dyDescent="0.2">
      <c r="AJ247" s="6"/>
    </row>
    <row r="248" spans="36:36" x14ac:dyDescent="0.2">
      <c r="AJ248" s="6"/>
    </row>
    <row r="249" spans="36:36" x14ac:dyDescent="0.2">
      <c r="AJ249" s="6"/>
    </row>
    <row r="250" spans="36:36" x14ac:dyDescent="0.2">
      <c r="AJ250" s="6"/>
    </row>
    <row r="251" spans="36:36" x14ac:dyDescent="0.2">
      <c r="AJ251" s="6"/>
    </row>
    <row r="252" spans="36:36" x14ac:dyDescent="0.2">
      <c r="AJ252" s="6"/>
    </row>
    <row r="253" spans="36:36" x14ac:dyDescent="0.2">
      <c r="AJ253" s="6"/>
    </row>
    <row r="254" spans="36:36" x14ac:dyDescent="0.2">
      <c r="AJ254" s="6"/>
    </row>
    <row r="255" spans="36:36" x14ac:dyDescent="0.2">
      <c r="AJ255" s="6"/>
    </row>
    <row r="256" spans="36:36" x14ac:dyDescent="0.2">
      <c r="AJ256" s="6"/>
    </row>
    <row r="257" spans="36:36" x14ac:dyDescent="0.2">
      <c r="AJ257" s="6"/>
    </row>
    <row r="258" spans="36:36" x14ac:dyDescent="0.2">
      <c r="AJ258" s="6"/>
    </row>
    <row r="259" spans="36:36" x14ac:dyDescent="0.2">
      <c r="AJ259" s="6"/>
    </row>
    <row r="260" spans="36:36" x14ac:dyDescent="0.2">
      <c r="AJ260" s="6"/>
    </row>
    <row r="261" spans="36:36" x14ac:dyDescent="0.2">
      <c r="AJ261" s="6"/>
    </row>
    <row r="262" spans="36:36" x14ac:dyDescent="0.2">
      <c r="AJ262" s="6"/>
    </row>
    <row r="263" spans="36:36" x14ac:dyDescent="0.2">
      <c r="AJ263" s="6"/>
    </row>
    <row r="264" spans="36:36" x14ac:dyDescent="0.2">
      <c r="AJ264" s="6"/>
    </row>
    <row r="265" spans="36:36" x14ac:dyDescent="0.2">
      <c r="AJ265" s="6"/>
    </row>
    <row r="266" spans="36:36" x14ac:dyDescent="0.2">
      <c r="AJ266" s="6"/>
    </row>
    <row r="267" spans="36:36" x14ac:dyDescent="0.2">
      <c r="AJ267" s="6"/>
    </row>
    <row r="268" spans="36:36" x14ac:dyDescent="0.2">
      <c r="AJ268" s="6"/>
    </row>
    <row r="269" spans="36:36" x14ac:dyDescent="0.2">
      <c r="AJ269" s="6"/>
    </row>
    <row r="270" spans="36:36" x14ac:dyDescent="0.2">
      <c r="AJ270" s="6"/>
    </row>
    <row r="271" spans="36:36" x14ac:dyDescent="0.2">
      <c r="AJ271" s="6"/>
    </row>
    <row r="272" spans="36:36" x14ac:dyDescent="0.2">
      <c r="AJ272" s="6"/>
    </row>
    <row r="273" spans="36:36" x14ac:dyDescent="0.2">
      <c r="AJ273" s="6"/>
    </row>
    <row r="274" spans="36:36" x14ac:dyDescent="0.2">
      <c r="AJ274" s="6"/>
    </row>
    <row r="275" spans="36:36" x14ac:dyDescent="0.2">
      <c r="AJ275" s="6"/>
    </row>
    <row r="276" spans="36:36" x14ac:dyDescent="0.2">
      <c r="AJ276" s="6"/>
    </row>
    <row r="277" spans="36:36" x14ac:dyDescent="0.2">
      <c r="AJ277" s="6"/>
    </row>
    <row r="278" spans="36:36" x14ac:dyDescent="0.2">
      <c r="AJ278" s="6"/>
    </row>
    <row r="279" spans="36:36" x14ac:dyDescent="0.2">
      <c r="AJ279" s="6"/>
    </row>
    <row r="280" spans="36:36" x14ac:dyDescent="0.2">
      <c r="AJ280" s="6"/>
    </row>
    <row r="281" spans="36:36" x14ac:dyDescent="0.2">
      <c r="AJ281" s="6"/>
    </row>
    <row r="282" spans="36:36" x14ac:dyDescent="0.2">
      <c r="AJ282" s="6"/>
    </row>
    <row r="283" spans="36:36" x14ac:dyDescent="0.2">
      <c r="AJ283" s="6"/>
    </row>
    <row r="284" spans="36:36" x14ac:dyDescent="0.2">
      <c r="AJ284" s="6"/>
    </row>
    <row r="285" spans="36:36" x14ac:dyDescent="0.2">
      <c r="AJ285" s="6"/>
    </row>
    <row r="286" spans="36:36" x14ac:dyDescent="0.2">
      <c r="AJ286" s="6"/>
    </row>
    <row r="287" spans="36:36" x14ac:dyDescent="0.2">
      <c r="AJ287" s="6"/>
    </row>
    <row r="288" spans="36:36" x14ac:dyDescent="0.2">
      <c r="AJ288" s="6"/>
    </row>
    <row r="289" spans="36:36" x14ac:dyDescent="0.2">
      <c r="AJ289" s="6"/>
    </row>
    <row r="290" spans="36:36" x14ac:dyDescent="0.2">
      <c r="AJ290" s="6"/>
    </row>
    <row r="291" spans="36:36" x14ac:dyDescent="0.2">
      <c r="AJ291" s="6"/>
    </row>
    <row r="292" spans="36:36" x14ac:dyDescent="0.2">
      <c r="AJ292" s="6"/>
    </row>
    <row r="293" spans="36:36" x14ac:dyDescent="0.2">
      <c r="AJ293" s="6"/>
    </row>
    <row r="294" spans="36:36" x14ac:dyDescent="0.2">
      <c r="AJ294" s="6"/>
    </row>
    <row r="295" spans="36:36" x14ac:dyDescent="0.2">
      <c r="AJ295" s="6"/>
    </row>
    <row r="296" spans="36:36" x14ac:dyDescent="0.2">
      <c r="AJ296" s="6"/>
    </row>
  </sheetData>
  <sheetProtection sheet="1" objects="1" scenarios="1"/>
  <mergeCells count="32">
    <mergeCell ref="K58:N58"/>
    <mergeCell ref="AC51:AD51"/>
    <mergeCell ref="AC52:AD52"/>
    <mergeCell ref="AC55:AD55"/>
    <mergeCell ref="AC56:AD56"/>
    <mergeCell ref="C38:N42"/>
    <mergeCell ref="W35:X35"/>
    <mergeCell ref="W37:X37"/>
    <mergeCell ref="L30:M30"/>
    <mergeCell ref="L31:M31"/>
    <mergeCell ref="W32:X32"/>
    <mergeCell ref="L32:M32"/>
    <mergeCell ref="W33:X33"/>
    <mergeCell ref="L33:M33"/>
    <mergeCell ref="K34:M34"/>
    <mergeCell ref="CA3:CD3"/>
    <mergeCell ref="S1:Y8"/>
    <mergeCell ref="BO3:BR3"/>
    <mergeCell ref="BS3:BV3"/>
    <mergeCell ref="BW3:BZ3"/>
    <mergeCell ref="L1:N1"/>
    <mergeCell ref="J17:N18"/>
    <mergeCell ref="L29:M29"/>
    <mergeCell ref="V22:Z22"/>
    <mergeCell ref="E4:L5"/>
    <mergeCell ref="L22:M22"/>
    <mergeCell ref="L24:M24"/>
    <mergeCell ref="L25:M25"/>
    <mergeCell ref="L26:M26"/>
    <mergeCell ref="L27:M27"/>
    <mergeCell ref="C20:M20"/>
    <mergeCell ref="L23:M23"/>
  </mergeCells>
  <conditionalFormatting sqref="V22 S1">
    <cfRule type="cellIs" dxfId="0" priority="1" stopIfTrue="1" operator="notEqual">
      <formula>""</formula>
    </cfRule>
  </conditionalFormatting>
  <dataValidations count="1">
    <dataValidation type="list" allowBlank="1" showInputMessage="1" showErrorMessage="1" sqref="S18">
      <formula1>$AD$47:$AD$54</formula1>
    </dataValidation>
  </dataValidations>
  <pageMargins left="0.75" right="0.5" top="0.75" bottom="0.5" header="0" footer="0.25"/>
  <pageSetup scale="98" fitToHeight="0" orientation="portrait" r:id="rId1"/>
  <headerFooter alignWithMargins="0">
    <oddFooter>&amp;LPrinted Date:  &amp;D&amp;R&amp;F</oddFooter>
  </headerFooter>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'Estimate Pg 1'!$AD$46:$AD$53</xm:f>
          </x14:formula1>
          <xm:sqref>Z12</xm:sqref>
        </x14:dataValidation>
        <x14:dataValidation type="list" allowBlank="1" showInputMessage="1" showErrorMessage="1">
          <x14:formula1>
            <xm:f>'Estimate Pg 1'!$AG$50:$AG$51</xm:f>
          </x14:formula1>
          <xm:sqref>S17</xm:sqref>
        </x14:dataValidation>
        <x14:dataValidation type="list" allowBlank="1" showInputMessage="1" showErrorMessage="1">
          <x14:formula1>
            <xm:f>'Estimate Pg 1'!$AG$63:$AG$65</xm:f>
          </x14:formula1>
          <xm:sqref>Y12</xm:sqref>
        </x14:dataValidation>
        <x14:dataValidation type="list" allowBlank="1" showInputMessage="1" showErrorMessage="1">
          <x14:formula1>
            <xm:f>'Estimate Pg 1'!$AE$62:$AE$63</xm:f>
          </x14:formula1>
          <xm:sqref>R24</xm:sqref>
        </x14:dataValidation>
        <x14:dataValidation type="list" allowBlank="1" showInputMessage="1" showErrorMessage="1">
          <x14:formula1>
            <xm:f>'Estimate Pg 1'!$AE$50:$AE$61</xm:f>
          </x14:formula1>
          <xm:sqref>Y19:Y20</xm:sqref>
        </x14:dataValidation>
        <x14:dataValidation type="list" allowBlank="1" showInputMessage="1" showErrorMessage="1">
          <x14:formula1>
            <xm:f>'Estimate Pg 1'!$AG$53:$AG$56</xm:f>
          </x14:formula1>
          <xm:sqref>S19</xm:sqref>
        </x14:dataValidation>
        <x14:dataValidation type="list" allowBlank="1" showInputMessage="1" showErrorMessage="1">
          <x14:formula1>
            <xm:f>'Estimate Pg 1'!$AG$66:$AG$68</xm:f>
          </x14:formula1>
          <xm:sqref>U25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6" workbookViewId="0">
      <selection activeCell="Q97" sqref="Q97"/>
    </sheetView>
  </sheetViews>
  <sheetFormatPr defaultRowHeig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Versions</vt:lpstr>
      <vt:lpstr>Estimate Pg 1</vt:lpstr>
      <vt:lpstr>Estimate Pg 2</vt:lpstr>
      <vt:lpstr>Span Chart &amp; PE-CE Tbls</vt:lpstr>
      <vt:lpstr>Hydraulic_Data</vt:lpstr>
      <vt:lpstr>inches</vt:lpstr>
      <vt:lpstr>'Estimate Pg 1'!Print_Area</vt:lpstr>
      <vt:lpstr>'Estimate Pg 2'!Print_Area</vt:lpstr>
      <vt:lpstr>'Estimate Pg 1'!Print_Titles</vt:lpstr>
      <vt:lpstr>'Estimate Pg 2'!Print_Titles</vt:lpstr>
      <vt:lpstr>Waterway</vt:lpstr>
      <vt:lpstr>Waterway2</vt:lpstr>
    </vt:vector>
  </TitlesOfParts>
  <Company>NHDOT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n18wps</dc:creator>
  <cp:lastModifiedBy>Bill Saffian</cp:lastModifiedBy>
  <cp:lastPrinted>2015-12-14T17:43:40Z</cp:lastPrinted>
  <dcterms:created xsi:type="dcterms:W3CDTF">2007-03-15T11:08:36Z</dcterms:created>
  <dcterms:modified xsi:type="dcterms:W3CDTF">2015-12-14T17:43:55Z</dcterms:modified>
</cp:coreProperties>
</file>