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Administration\A Gunter Files\grants\TIGER Grant\"/>
    </mc:Choice>
  </mc:AlternateContent>
  <bookViews>
    <workbookView xWindow="0" yWindow="0" windowWidth="24000" windowHeight="9435" firstSheet="1" activeTab="1"/>
  </bookViews>
  <sheets>
    <sheet name="Cover" sheetId="1" state="hidden" r:id="rId1"/>
    <sheet name="Quantifiable Benefits and costs" sheetId="2" r:id="rId2"/>
    <sheet name="Construction Costs" sheetId="3" r:id="rId3"/>
    <sheet name="Travel Time Savings Explanation" sheetId="4" r:id="rId4"/>
    <sheet name="Travel Time Benefits" sheetId="5" r:id="rId5"/>
    <sheet name="Operating Cost Detour"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3" l="1"/>
  <c r="G8" i="3"/>
  <c r="E8" i="3"/>
  <c r="D8" i="3"/>
  <c r="F7" i="5" l="1"/>
  <c r="F8" i="5"/>
  <c r="F9" i="5"/>
  <c r="F10" i="5"/>
  <c r="F11" i="5"/>
  <c r="F12" i="5"/>
  <c r="F13" i="5"/>
  <c r="F14" i="5"/>
  <c r="F15" i="5"/>
  <c r="F16" i="5"/>
  <c r="F17" i="5"/>
  <c r="F18" i="5"/>
  <c r="F19" i="5"/>
  <c r="F20" i="5"/>
  <c r="F21" i="5"/>
  <c r="F22" i="5"/>
  <c r="F23" i="5"/>
  <c r="F24" i="5"/>
  <c r="F25" i="5"/>
  <c r="F26" i="5"/>
  <c r="F27" i="5"/>
  <c r="F28" i="5"/>
  <c r="F6" i="5"/>
  <c r="D5" i="6"/>
  <c r="D11" i="6" s="1"/>
  <c r="D13" i="6" s="1"/>
  <c r="D15" i="6" s="1"/>
  <c r="D17" i="6" s="1"/>
  <c r="B6" i="5"/>
  <c r="B5" i="5"/>
  <c r="E5" i="5" s="1"/>
  <c r="E4" i="5"/>
  <c r="E8" i="4"/>
  <c r="H8" i="4" s="1"/>
  <c r="F13" i="3"/>
  <c r="F15" i="3"/>
  <c r="F14" i="3"/>
  <c r="I6" i="3"/>
  <c r="C6" i="3"/>
  <c r="F6" i="3" s="1"/>
  <c r="I5" i="3"/>
  <c r="C5" i="3" s="1"/>
  <c r="I4" i="3"/>
  <c r="C4" i="3"/>
  <c r="P29" i="2"/>
  <c r="O29" i="2"/>
  <c r="N29" i="2"/>
  <c r="H29" i="2"/>
  <c r="Q28" i="2"/>
  <c r="U28" i="2" s="1"/>
  <c r="I28" i="2"/>
  <c r="K28" i="2" s="1"/>
  <c r="F28" i="2"/>
  <c r="E28" i="2"/>
  <c r="D28" i="2"/>
  <c r="S27" i="2"/>
  <c r="Q27" i="2"/>
  <c r="U27" i="2" s="1"/>
  <c r="I27" i="2"/>
  <c r="M27" i="2" s="1"/>
  <c r="H27" i="2"/>
  <c r="Q26" i="2"/>
  <c r="U26" i="2" s="1"/>
  <c r="I26" i="2"/>
  <c r="K26" i="2" s="1"/>
  <c r="G26" i="2"/>
  <c r="D26" i="2"/>
  <c r="Q25" i="2"/>
  <c r="U25" i="2" s="1"/>
  <c r="I25" i="2"/>
  <c r="K25" i="2" s="1"/>
  <c r="U24" i="2"/>
  <c r="Q24" i="2"/>
  <c r="S24" i="2" s="1"/>
  <c r="I24" i="2"/>
  <c r="M24" i="2" s="1"/>
  <c r="E24" i="2"/>
  <c r="D24" i="2"/>
  <c r="U23" i="2"/>
  <c r="Q23" i="2"/>
  <c r="S23" i="2" s="1"/>
  <c r="I23" i="2"/>
  <c r="M23" i="2" s="1"/>
  <c r="Q22" i="2"/>
  <c r="U22" i="2" s="1"/>
  <c r="I22" i="2"/>
  <c r="K22" i="2" s="1"/>
  <c r="F22" i="2"/>
  <c r="D22" i="2"/>
  <c r="Q21" i="2"/>
  <c r="U21" i="2" s="1"/>
  <c r="M21" i="2"/>
  <c r="I21" i="2"/>
  <c r="K21" i="2" s="1"/>
  <c r="U20" i="2"/>
  <c r="Q20" i="2"/>
  <c r="S20" i="2" s="1"/>
  <c r="I20" i="2"/>
  <c r="M20" i="2" s="1"/>
  <c r="E20" i="2"/>
  <c r="D20" i="2"/>
  <c r="U19" i="2"/>
  <c r="Q19" i="2"/>
  <c r="S19" i="2" s="1"/>
  <c r="I19" i="2"/>
  <c r="M19" i="2" s="1"/>
  <c r="Q18" i="2"/>
  <c r="U18" i="2" s="1"/>
  <c r="I18" i="2"/>
  <c r="K18" i="2" s="1"/>
  <c r="D18" i="2"/>
  <c r="U17" i="2"/>
  <c r="S17" i="2"/>
  <c r="Q17" i="2"/>
  <c r="I17" i="2"/>
  <c r="K17" i="2" s="1"/>
  <c r="S16" i="2"/>
  <c r="Q16" i="2"/>
  <c r="U16" i="2" s="1"/>
  <c r="I16" i="2"/>
  <c r="M16" i="2" s="1"/>
  <c r="G16" i="2"/>
  <c r="F16" i="2"/>
  <c r="E16" i="2"/>
  <c r="D16" i="2"/>
  <c r="U15" i="2"/>
  <c r="S15" i="2"/>
  <c r="Q15" i="2"/>
  <c r="I15" i="2"/>
  <c r="K15" i="2" s="1"/>
  <c r="S14" i="2"/>
  <c r="Q14" i="2"/>
  <c r="U14" i="2" s="1"/>
  <c r="I14" i="2"/>
  <c r="M14" i="2" s="1"/>
  <c r="D14" i="2"/>
  <c r="Q13" i="2"/>
  <c r="U13" i="2" s="1"/>
  <c r="M13" i="2"/>
  <c r="I13" i="2"/>
  <c r="K13" i="2" s="1"/>
  <c r="U12" i="2"/>
  <c r="Q12" i="2"/>
  <c r="S12" i="2" s="1"/>
  <c r="I12" i="2"/>
  <c r="M12" i="2" s="1"/>
  <c r="E12" i="2"/>
  <c r="D12" i="2"/>
  <c r="U11" i="2"/>
  <c r="Q11" i="2"/>
  <c r="S11" i="2" s="1"/>
  <c r="I11" i="2"/>
  <c r="M11" i="2" s="1"/>
  <c r="Q10" i="2"/>
  <c r="U10" i="2" s="1"/>
  <c r="I10" i="2"/>
  <c r="K10" i="2" s="1"/>
  <c r="F10" i="2"/>
  <c r="D10" i="2"/>
  <c r="Q9" i="2"/>
  <c r="U9" i="2" s="1"/>
  <c r="M9" i="2"/>
  <c r="I9" i="2"/>
  <c r="K9" i="2" s="1"/>
  <c r="U8" i="2"/>
  <c r="U29" i="2" s="1"/>
  <c r="C34" i="2" s="1"/>
  <c r="Q8" i="2"/>
  <c r="S8" i="2" s="1"/>
  <c r="I8" i="2"/>
  <c r="M8" i="2" s="1"/>
  <c r="E8" i="2"/>
  <c r="D8" i="2"/>
  <c r="U7" i="2"/>
  <c r="Q7" i="2"/>
  <c r="S7" i="2" s="1"/>
  <c r="I7" i="2"/>
  <c r="M7" i="2" s="1"/>
  <c r="Q6" i="2"/>
  <c r="U6" i="2" s="1"/>
  <c r="I6" i="2"/>
  <c r="M6" i="2" s="1"/>
  <c r="D6" i="2"/>
  <c r="S5" i="2"/>
  <c r="Q5" i="2"/>
  <c r="Q29" i="2" s="1"/>
  <c r="B34" i="2" s="1"/>
  <c r="K4" i="2"/>
  <c r="I4" i="2"/>
  <c r="C8" i="3" l="1"/>
  <c r="C5" i="2" s="1"/>
  <c r="F4" i="3"/>
  <c r="F8" i="3" s="1"/>
  <c r="M26" i="2"/>
  <c r="F5" i="3"/>
  <c r="I8" i="3"/>
  <c r="K6" i="2"/>
  <c r="M10" i="2"/>
  <c r="M18" i="2"/>
  <c r="M22" i="2"/>
  <c r="K8" i="2"/>
  <c r="K12" i="2"/>
  <c r="M15" i="2"/>
  <c r="M17" i="2"/>
  <c r="K20" i="2"/>
  <c r="K24" i="2"/>
  <c r="M25" i="2"/>
  <c r="K7" i="2"/>
  <c r="K11" i="2"/>
  <c r="K19" i="2"/>
  <c r="K23" i="2"/>
  <c r="B7" i="5"/>
  <c r="E6" i="5"/>
  <c r="H9" i="4"/>
  <c r="I8" i="4"/>
  <c r="F16" i="3"/>
  <c r="U5" i="2"/>
  <c r="M28" i="2"/>
  <c r="M4" i="2"/>
  <c r="S6" i="2"/>
  <c r="S9" i="2"/>
  <c r="S10" i="2"/>
  <c r="S13" i="2"/>
  <c r="K14" i="2"/>
  <c r="K16" i="2"/>
  <c r="S18" i="2"/>
  <c r="S21" i="2"/>
  <c r="S22" i="2"/>
  <c r="S25" i="2"/>
  <c r="S26" i="2"/>
  <c r="K27" i="2"/>
  <c r="S28" i="2"/>
  <c r="C13" i="3" l="1"/>
  <c r="C16" i="3" s="1"/>
  <c r="I5" i="2"/>
  <c r="K5" i="2" s="1"/>
  <c r="K29" i="2" s="1"/>
  <c r="H35" i="2" s="1"/>
  <c r="B35" i="2"/>
  <c r="B36" i="2" s="1"/>
  <c r="B29" i="2"/>
  <c r="B8" i="5"/>
  <c r="E7" i="5"/>
  <c r="S29" i="2"/>
  <c r="H34" i="2" s="1"/>
  <c r="M5" i="2" l="1"/>
  <c r="M29" i="2" s="1"/>
  <c r="C35" i="2" s="1"/>
  <c r="C36" i="2" s="1"/>
  <c r="I29" i="2"/>
  <c r="H36" i="2"/>
  <c r="C40" i="2"/>
  <c r="B9" i="5"/>
  <c r="E8" i="5"/>
  <c r="E9" i="5" l="1"/>
  <c r="B10" i="5"/>
  <c r="E10" i="5" l="1"/>
  <c r="B11" i="5"/>
  <c r="B12" i="5" l="1"/>
  <c r="E11" i="5"/>
  <c r="B13" i="5" l="1"/>
  <c r="E12" i="5"/>
  <c r="E13" i="5" l="1"/>
  <c r="B14" i="5"/>
  <c r="E14" i="5" l="1"/>
  <c r="B15" i="5"/>
  <c r="B16" i="5" l="1"/>
  <c r="E15" i="5"/>
  <c r="B17" i="5" l="1"/>
  <c r="E16" i="5"/>
  <c r="E17" i="5" l="1"/>
  <c r="B18" i="5"/>
  <c r="E18" i="5" l="1"/>
  <c r="B19" i="5"/>
  <c r="B20" i="5" l="1"/>
  <c r="E19" i="5"/>
  <c r="B21" i="5" l="1"/>
  <c r="E20" i="5"/>
  <c r="E21" i="5" l="1"/>
  <c r="B22" i="5"/>
  <c r="E22" i="5" l="1"/>
  <c r="B23" i="5"/>
  <c r="B24" i="5" l="1"/>
  <c r="E23" i="5"/>
  <c r="B25" i="5" l="1"/>
  <c r="E24" i="5"/>
  <c r="E25" i="5" l="1"/>
  <c r="B26" i="5"/>
  <c r="E26" i="5" l="1"/>
  <c r="B27" i="5"/>
  <c r="B28" i="5" l="1"/>
  <c r="B29" i="5" s="1"/>
  <c r="E27" i="5"/>
  <c r="E28" i="5" l="1"/>
  <c r="F29" i="5" s="1"/>
</calcChain>
</file>

<file path=xl/sharedStrings.xml><?xml version="1.0" encoding="utf-8"?>
<sst xmlns="http://schemas.openxmlformats.org/spreadsheetml/2006/main" count="112" uniqueCount="99">
  <si>
    <t>Annualized Total Quantitaive Project Benefits &amp; Costs: Sherburne Brook Bridge replacement</t>
  </si>
  <si>
    <t>Year</t>
  </si>
  <si>
    <t>Project year</t>
  </si>
  <si>
    <t>Construction Costs</t>
  </si>
  <si>
    <t>2 year</t>
  </si>
  <si>
    <t>4 year</t>
  </si>
  <si>
    <t>6 year</t>
  </si>
  <si>
    <t>10 year</t>
  </si>
  <si>
    <t>Preventive Maintenance Costs</t>
  </si>
  <si>
    <t>Total Project Costs (Undiscounted)</t>
  </si>
  <si>
    <t>7% Discount Rates</t>
  </si>
  <si>
    <t>Present Worth Project Costs (2015 $ 7%)</t>
  </si>
  <si>
    <t>3% Discount Rates</t>
  </si>
  <si>
    <t>Present Worth Project Costs (2015 $ 3%)</t>
  </si>
  <si>
    <t>Annual Travel Time Savings</t>
  </si>
  <si>
    <t>Annual Operating Cost Savings</t>
  </si>
  <si>
    <t>Monetizing Accidents (3/year)</t>
  </si>
  <si>
    <t>Total Project Benefits (Undiscounted)</t>
  </si>
  <si>
    <t>25-Year Project Horizon</t>
  </si>
  <si>
    <t>Benefit Cost - Analysis Quantitaive Summary</t>
  </si>
  <si>
    <t>Preventive Maintenance*</t>
  </si>
  <si>
    <t>Total Project Benefits &amp; Costs</t>
  </si>
  <si>
    <t>3% Discount Rate</t>
  </si>
  <si>
    <t>7% Discount Rate</t>
  </si>
  <si>
    <t>Cyclical Preventive Maintenance Acitivity Examples</t>
  </si>
  <si>
    <t>Commonly Used Frequencies (Years)</t>
  </si>
  <si>
    <t>Average Annual Cost</t>
  </si>
  <si>
    <t>Benefits</t>
  </si>
  <si>
    <t xml:space="preserve">Sweep and ditch road </t>
  </si>
  <si>
    <t>Costs</t>
  </si>
  <si>
    <t>Crack seal and sholuder repair</t>
  </si>
  <si>
    <t>BCR</t>
  </si>
  <si>
    <t>Project Costs, Funding Sources and Schedule</t>
  </si>
  <si>
    <t>Estimated Total Cost</t>
  </si>
  <si>
    <t>Construction</t>
  </si>
  <si>
    <t>Allowance for Environmental, Historic, and Utility Mitigation</t>
  </si>
  <si>
    <t xml:space="preserve">Escalation to Mid-point of Construction </t>
  </si>
  <si>
    <t>Design</t>
  </si>
  <si>
    <t>OPM, Field Representation, and other Soft Costs</t>
  </si>
  <si>
    <t>Project Contingency (10%)</t>
  </si>
  <si>
    <t>1. Sherburne Brook Bridge replacement</t>
  </si>
  <si>
    <t>2. Bow Lake Road replacement West of Bridge</t>
  </si>
  <si>
    <t>3. Bow Lake Road replacement east of Bridge</t>
  </si>
  <si>
    <t>Total TIGER Project</t>
  </si>
  <si>
    <t>Funding Sources</t>
  </si>
  <si>
    <t>Project Funding Use Breakdown</t>
  </si>
  <si>
    <t>Town of Northwood</t>
  </si>
  <si>
    <t>Coe-Brown academy</t>
  </si>
  <si>
    <t>OPM, Field Representation, etc.</t>
  </si>
  <si>
    <t>TOTAL</t>
  </si>
  <si>
    <t>Project Schedule</t>
  </si>
  <si>
    <t>Start</t>
  </si>
  <si>
    <t>Complete</t>
  </si>
  <si>
    <t>Permitting &amp; Approvals</t>
  </si>
  <si>
    <t>Construction Procurement</t>
  </si>
  <si>
    <t>*Costs taken from the 2015 Engineering Reports from construction estimates, NHDOT assessments and Northwood engineer assessments</t>
  </si>
  <si>
    <t>Travel Time Savings Explanation</t>
  </si>
  <si>
    <t>Time Savings</t>
  </si>
  <si>
    <t>Average Time Delay - minutes*</t>
  </si>
  <si>
    <t>Daily Trips**</t>
  </si>
  <si>
    <t>Daily Hours Lost</t>
  </si>
  <si>
    <t>Service Days</t>
  </si>
  <si>
    <t>Annualized Cost</t>
  </si>
  <si>
    <t>Annual Cost per Rider</t>
  </si>
  <si>
    <t xml:space="preserve">Annual Cost Travel Time (2015) </t>
  </si>
  <si>
    <t>*Average time delay is based on the current weight restrictions and potential closure of the bridge.</t>
  </si>
  <si>
    <t xml:space="preserve">** It is expected that trips per day will increase by 3% over time. </t>
  </si>
  <si>
    <t>*** Revised Departmental Guidance on Valuation of Travel Time in Economic Analysis (Revision 2 - corrected)</t>
  </si>
  <si>
    <t xml:space="preserve">*** Weekends are excluded because the majority of trips are during the work week.  Also Tourist usage of the beach use are difficult to quantify so they also were not considered.   </t>
  </si>
  <si>
    <t>Trip Projections</t>
  </si>
  <si>
    <t>Travel Time Savings</t>
  </si>
  <si>
    <t>Use of Sherburne Brook Bridge</t>
  </si>
  <si>
    <t>Annual Travel Time Savings*</t>
  </si>
  <si>
    <t>*Formula as per Travel Time Assumptions Sheet: Daily usage of road and bridge based on Strafford Regional Planning traffic count and populatin growth *Average Time Delay*Recommended Hourly Value of Travel Time Savings*work Days</t>
  </si>
  <si>
    <t>Annual Operating Cost of Detours</t>
  </si>
  <si>
    <t>Sherburne brook closure</t>
  </si>
  <si>
    <t>Additional Mileage</t>
  </si>
  <si>
    <t>Weekday trips</t>
  </si>
  <si>
    <t>Total Extra VMT</t>
  </si>
  <si>
    <t>Detour trips to bypass Sherburne Brook Bridge</t>
  </si>
  <si>
    <t>Total Extra Vehicle Miles Travelled per day:</t>
  </si>
  <si>
    <t>Cost / Mile*</t>
  </si>
  <si>
    <t xml:space="preserve"> </t>
  </si>
  <si>
    <t>Avg Weekdays/Year</t>
  </si>
  <si>
    <t>Total Annual Operating Cost Savings</t>
  </si>
  <si>
    <t xml:space="preserve">* IRS 2016 Cost per mile. </t>
  </si>
  <si>
    <t>https://www.irs.gov/uac/Newsroom/2016-Standard-Mileage-Rates-for-Business-Medical-and-Moving-Announced</t>
  </si>
  <si>
    <t>NPV</t>
  </si>
  <si>
    <t>2018-2038</t>
  </si>
  <si>
    <t>maintenance</t>
  </si>
  <si>
    <t>Location</t>
  </si>
  <si>
    <t>Amount</t>
  </si>
  <si>
    <t>Current bridge conditions have a significant impact on the economy in the project area.  The time delays are estimated by the average speed on the backroads and the number of miles traveled.  Based on this data the daily hours lost per  trip was calculated. Using the USDOT value of travel time, the cost per  trip was calculated.</t>
  </si>
  <si>
    <t>Cost $$/hr.***</t>
  </si>
  <si>
    <t>Trips crossing Sherburne brook Bridge</t>
  </si>
  <si>
    <t>Future weight restrictions/potential closures on the Bridge over the Sherburne Brook would add additional significant travel time delay.</t>
  </si>
  <si>
    <t>TIGER VIII Request</t>
  </si>
  <si>
    <t>Grant Agreement Negotiation (anticipated)</t>
  </si>
  <si>
    <t>Tiger funds will replace the Red Listed Bridge over Sherburne Brook on Bow Lake Road and repave the 2.1 miles of road on both sides of the bridge.  Additional drainage will be added to the road to alleviate flooding at lo points of the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</si>
</sst>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409]* #,##0.00_);_([$$-409]* \(#,##0.00\);_([$$-409]* &quot;-&quot;??_);_(@_)"/>
    <numFmt numFmtId="166" formatCode="_(* #,##0_);_(* \(#,##0\);_(* &quot;-&quot;??_);_(@_)"/>
    <numFmt numFmtId="167" formatCode="[$-409]mmm\-yy;@"/>
  </numFmts>
  <fonts count="30" x14ac:knownFonts="1">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0"/>
      <name val="Verdana"/>
      <family val="2"/>
    </font>
    <font>
      <b/>
      <sz val="10"/>
      <color theme="0"/>
      <name val="Calibri"/>
      <family val="2"/>
      <scheme val="minor"/>
    </font>
    <font>
      <sz val="10"/>
      <color theme="1"/>
      <name val="Calibri"/>
      <family val="2"/>
      <scheme val="minor"/>
    </font>
    <font>
      <sz val="10"/>
      <color rgb="FF9C0006"/>
      <name val="Calibri"/>
      <family val="2"/>
      <scheme val="minor"/>
    </font>
    <font>
      <sz val="10"/>
      <name val="Calibri"/>
      <family val="2"/>
      <scheme val="minor"/>
    </font>
    <font>
      <sz val="10"/>
      <color rgb="FF006100"/>
      <name val="Calibri"/>
      <family val="2"/>
      <scheme val="minor"/>
    </font>
    <font>
      <b/>
      <sz val="10"/>
      <color rgb="FF9C0006"/>
      <name val="Calibri"/>
      <family val="2"/>
      <scheme val="minor"/>
    </font>
    <font>
      <b/>
      <sz val="10"/>
      <color rgb="FF006100"/>
      <name val="Calibri"/>
      <family val="2"/>
      <scheme val="minor"/>
    </font>
    <font>
      <b/>
      <sz val="10"/>
      <color theme="1"/>
      <name val="Calibri"/>
      <family val="2"/>
      <scheme val="minor"/>
    </font>
    <font>
      <u/>
      <sz val="11"/>
      <color theme="10"/>
      <name val="Calibri"/>
      <family val="2"/>
      <scheme val="minor"/>
    </font>
    <font>
      <i/>
      <u/>
      <sz val="11"/>
      <color theme="10"/>
      <name val="Calibri"/>
      <family val="2"/>
      <scheme val="minor"/>
    </font>
    <font>
      <b/>
      <i/>
      <sz val="11"/>
      <color rgb="FF0000FF"/>
      <name val="Calibri"/>
      <family val="2"/>
      <scheme val="minor"/>
    </font>
    <font>
      <b/>
      <i/>
      <u/>
      <sz val="11"/>
      <color theme="10"/>
      <name val="Calibri"/>
      <family val="2"/>
      <scheme val="minor"/>
    </font>
    <font>
      <b/>
      <sz val="10"/>
      <color rgb="FFFFFFFF"/>
      <name val="Calibri"/>
      <family val="2"/>
      <scheme val="minor"/>
    </font>
    <font>
      <b/>
      <i/>
      <sz val="10"/>
      <color theme="1"/>
      <name val="Calibri"/>
      <family val="2"/>
      <scheme val="minor"/>
    </font>
    <font>
      <sz val="10"/>
      <color rgb="FF800000"/>
      <name val="Calibri"/>
      <family val="2"/>
      <scheme val="minor"/>
    </font>
    <font>
      <sz val="10"/>
      <color theme="0"/>
      <name val="Calibri"/>
      <family val="2"/>
      <scheme val="minor"/>
    </font>
    <font>
      <i/>
      <sz val="10"/>
      <color theme="1"/>
      <name val="Calibri"/>
      <family val="2"/>
      <scheme val="minor"/>
    </font>
    <font>
      <i/>
      <u/>
      <sz val="10"/>
      <color theme="10"/>
      <name val="Calibri"/>
      <family val="2"/>
      <scheme val="minor"/>
    </font>
    <font>
      <b/>
      <sz val="10"/>
      <color rgb="FF3F3F3F"/>
      <name val="Calibri"/>
      <family val="2"/>
      <scheme val="minor"/>
    </font>
    <font>
      <b/>
      <sz val="10"/>
      <color rgb="FFFF0000"/>
      <name val="Calibri"/>
      <family val="2"/>
      <scheme val="minor"/>
    </font>
    <font>
      <b/>
      <sz val="10"/>
      <color rgb="FF002060"/>
      <name val="Calibri"/>
      <family val="2"/>
      <scheme val="minor"/>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2F2F2"/>
      </patternFill>
    </fill>
    <fill>
      <patternFill patternType="solid">
        <fgColor theme="4" tint="0.79998168889431442"/>
        <bgColor indexed="65"/>
      </patternFill>
    </fill>
    <fill>
      <patternFill patternType="solid">
        <fgColor theme="8" tint="0.79998168889431442"/>
        <bgColor indexed="65"/>
      </patternFill>
    </fill>
    <fill>
      <patternFill patternType="solid">
        <fgColor theme="3"/>
        <bgColor indexed="64"/>
      </patternFill>
    </fill>
    <fill>
      <patternFill patternType="solid">
        <fgColor theme="0"/>
        <bgColor indexed="64"/>
      </patternFill>
    </fill>
    <fill>
      <patternFill patternType="solid">
        <fgColor theme="1" tint="0.499984740745262"/>
        <bgColor indexed="64"/>
      </patternFill>
    </fill>
    <fill>
      <patternFill patternType="solid">
        <fgColor rgb="FFFF0000"/>
        <bgColor indexed="64"/>
      </patternFill>
    </fill>
    <fill>
      <patternFill patternType="solid">
        <fgColor rgb="FFFFFFFF"/>
        <bgColor indexed="64"/>
      </patternFill>
    </fill>
    <fill>
      <patternFill patternType="solid">
        <fgColor rgb="FF00B050"/>
        <bgColor indexed="64"/>
      </patternFill>
    </fill>
  </fills>
  <borders count="29">
    <border>
      <left/>
      <right/>
      <top/>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1" applyNumberFormat="0" applyFill="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5" fillId="4" borderId="2" applyNumberFormat="0" applyAlignment="0" applyProtection="0"/>
    <xf numFmtId="0" fontId="1" fillId="5" borderId="0" applyNumberFormat="0" applyBorder="0" applyAlignment="0" applyProtection="0"/>
    <xf numFmtId="0" fontId="1" fillId="6" borderId="0" applyNumberFormat="0" applyBorder="0" applyAlignment="0" applyProtection="0"/>
    <xf numFmtId="0" fontId="8" fillId="0" borderId="0"/>
    <xf numFmtId="0" fontId="17" fillId="0" borderId="0" applyNumberFormat="0" applyFill="0" applyBorder="0" applyAlignment="0" applyProtection="0"/>
    <xf numFmtId="9" fontId="1" fillId="0" borderId="0" applyFont="0" applyFill="0" applyBorder="0" applyAlignment="0" applyProtection="0"/>
  </cellStyleXfs>
  <cellXfs count="233">
    <xf numFmtId="0" fontId="0" fillId="0" borderId="0" xfId="0"/>
    <xf numFmtId="1" fontId="0" fillId="0" borderId="0" xfId="0" applyNumberFormat="1"/>
    <xf numFmtId="0" fontId="0" fillId="0" borderId="0" xfId="0" applyAlignment="1">
      <alignment wrapText="1"/>
    </xf>
    <xf numFmtId="44" fontId="0" fillId="0" borderId="0" xfId="2" applyFont="1"/>
    <xf numFmtId="44" fontId="0" fillId="0" borderId="0" xfId="0" applyNumberFormat="1"/>
    <xf numFmtId="0" fontId="2" fillId="0" borderId="1" xfId="3"/>
    <xf numFmtId="0" fontId="8" fillId="0" borderId="0" xfId="10"/>
    <xf numFmtId="0" fontId="9" fillId="7" borderId="7" xfId="10" applyFont="1" applyFill="1" applyBorder="1" applyAlignment="1">
      <alignment horizontal="center" vertical="center" wrapText="1"/>
    </xf>
    <xf numFmtId="0" fontId="9" fillId="7" borderId="8" xfId="10" applyFont="1" applyFill="1" applyBorder="1" applyAlignment="1">
      <alignment horizontal="center" vertical="center" wrapText="1"/>
    </xf>
    <xf numFmtId="0" fontId="10" fillId="0" borderId="9" xfId="0" applyFont="1" applyBorder="1" applyAlignment="1">
      <alignment wrapText="1"/>
    </xf>
    <xf numFmtId="43" fontId="10" fillId="0" borderId="3" xfId="1" applyFont="1" applyBorder="1" applyAlignment="1">
      <alignment wrapText="1"/>
    </xf>
    <xf numFmtId="165" fontId="10" fillId="0" borderId="3" xfId="0" applyNumberFormat="1" applyFont="1" applyBorder="1" applyAlignment="1">
      <alignment wrapText="1"/>
    </xf>
    <xf numFmtId="44" fontId="11" fillId="3" borderId="3" xfId="6" applyNumberFormat="1" applyFont="1" applyBorder="1"/>
    <xf numFmtId="0" fontId="12" fillId="0" borderId="3" xfId="10" applyFont="1" applyBorder="1"/>
    <xf numFmtId="0" fontId="1" fillId="0" borderId="3" xfId="0" applyFont="1" applyBorder="1" applyAlignment="1">
      <alignment wrapText="1"/>
    </xf>
    <xf numFmtId="165" fontId="10" fillId="0" borderId="3" xfId="0" applyNumberFormat="1" applyFont="1" applyBorder="1" applyAlignment="1">
      <alignment horizontal="right" wrapText="1"/>
    </xf>
    <xf numFmtId="44" fontId="10" fillId="0" borderId="3" xfId="0" applyNumberFormat="1" applyFont="1" applyBorder="1" applyAlignment="1">
      <alignment wrapText="1"/>
    </xf>
    <xf numFmtId="0" fontId="13" fillId="2" borderId="3" xfId="5" applyFont="1" applyBorder="1" applyAlignment="1">
      <alignment wrapText="1"/>
    </xf>
    <xf numFmtId="44" fontId="13" fillId="2" borderId="3" xfId="5" applyNumberFormat="1" applyFont="1" applyBorder="1" applyAlignment="1">
      <alignment wrapText="1"/>
    </xf>
    <xf numFmtId="0" fontId="13" fillId="2" borderId="4" xfId="5" applyFont="1" applyBorder="1"/>
    <xf numFmtId="166" fontId="10" fillId="0" borderId="3" xfId="1" applyNumberFormat="1" applyFont="1" applyBorder="1" applyAlignment="1">
      <alignment wrapText="1"/>
    </xf>
    <xf numFmtId="0" fontId="10" fillId="0" borderId="3" xfId="0" applyFont="1" applyBorder="1" applyAlignment="1">
      <alignment wrapText="1"/>
    </xf>
    <xf numFmtId="165" fontId="13" fillId="2" borderId="3" xfId="5" applyNumberFormat="1" applyFont="1" applyBorder="1" applyAlignment="1">
      <alignment wrapText="1"/>
    </xf>
    <xf numFmtId="44" fontId="13" fillId="2" borderId="4" xfId="5" applyNumberFormat="1" applyFont="1" applyBorder="1"/>
    <xf numFmtId="165" fontId="10" fillId="8" borderId="3" xfId="0" applyNumberFormat="1" applyFont="1" applyFill="1" applyBorder="1" applyAlignment="1">
      <alignment wrapText="1"/>
    </xf>
    <xf numFmtId="0" fontId="0" fillId="0" borderId="3" xfId="0" applyBorder="1"/>
    <xf numFmtId="0" fontId="10" fillId="0" borderId="10" xfId="0" applyFont="1" applyBorder="1" applyAlignment="1">
      <alignment wrapText="1"/>
    </xf>
    <xf numFmtId="165" fontId="10" fillId="0" borderId="11" xfId="0" applyNumberFormat="1" applyFont="1" applyBorder="1" applyAlignment="1">
      <alignment wrapText="1"/>
    </xf>
    <xf numFmtId="0" fontId="10" fillId="0" borderId="11" xfId="0" applyFont="1" applyBorder="1" applyAlignment="1">
      <alignment wrapText="1"/>
    </xf>
    <xf numFmtId="44" fontId="11" fillId="3" borderId="11" xfId="6" applyNumberFormat="1" applyFont="1" applyBorder="1"/>
    <xf numFmtId="0" fontId="9" fillId="9" borderId="12" xfId="7" applyFont="1" applyFill="1" applyBorder="1" applyAlignment="1">
      <alignment horizontal="center" vertical="center" wrapText="1"/>
    </xf>
    <xf numFmtId="165" fontId="9" fillId="10" borderId="14" xfId="7" applyNumberFormat="1" applyFont="1" applyFill="1" applyBorder="1" applyAlignment="1">
      <alignment horizontal="center" vertical="center" wrapText="1"/>
    </xf>
    <xf numFmtId="165" fontId="9" fillId="9" borderId="5" xfId="7" applyNumberFormat="1" applyFont="1" applyFill="1" applyBorder="1" applyAlignment="1">
      <alignment horizontal="center" vertical="center" wrapText="1"/>
    </xf>
    <xf numFmtId="44" fontId="14" fillId="3" borderId="5" xfId="6" applyNumberFormat="1" applyFont="1" applyBorder="1" applyAlignment="1">
      <alignment horizontal="center" vertical="center"/>
    </xf>
    <xf numFmtId="0" fontId="9" fillId="9" borderId="5" xfId="0" applyFont="1" applyFill="1" applyBorder="1" applyAlignment="1">
      <alignment horizontal="center" vertical="center" wrapText="1"/>
    </xf>
    <xf numFmtId="44" fontId="14" fillId="3" borderId="5" xfId="6" applyNumberFormat="1" applyFont="1" applyBorder="1" applyAlignment="1">
      <alignment horizontal="center" vertical="center" wrapText="1"/>
    </xf>
    <xf numFmtId="0" fontId="9" fillId="9" borderId="5" xfId="7" applyFont="1" applyFill="1" applyBorder="1" applyAlignment="1">
      <alignment horizontal="center" vertical="center" wrapText="1"/>
    </xf>
    <xf numFmtId="44" fontId="9" fillId="9" borderId="5" xfId="7" applyNumberFormat="1" applyFont="1" applyFill="1" applyBorder="1" applyAlignment="1">
      <alignment horizontal="center" vertical="center" wrapText="1"/>
    </xf>
    <xf numFmtId="44" fontId="15" fillId="2" borderId="5" xfId="5" applyNumberFormat="1" applyFont="1" applyBorder="1" applyAlignment="1">
      <alignment horizontal="center" vertical="center" wrapText="1"/>
    </xf>
    <xf numFmtId="0" fontId="6" fillId="9" borderId="5" xfId="0" applyFont="1" applyFill="1" applyBorder="1" applyAlignment="1">
      <alignment horizontal="center" vertical="center"/>
    </xf>
    <xf numFmtId="44" fontId="15" fillId="2" borderId="6" xfId="5" applyNumberFormat="1" applyFont="1" applyBorder="1" applyAlignment="1">
      <alignment horizontal="center" vertical="center"/>
    </xf>
    <xf numFmtId="0" fontId="7" fillId="0" borderId="0" xfId="0" applyFont="1" applyAlignment="1">
      <alignment horizontal="center" vertical="center"/>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9" fontId="9" fillId="7" borderId="8" xfId="0" applyNumberFormat="1" applyFont="1" applyFill="1" applyBorder="1" applyAlignment="1">
      <alignment horizontal="center" vertical="center" wrapText="1"/>
    </xf>
    <xf numFmtId="9" fontId="9" fillId="7" borderId="15" xfId="0" applyNumberFormat="1" applyFont="1" applyFill="1" applyBorder="1" applyAlignment="1">
      <alignment horizontal="center" vertical="center" wrapText="1"/>
    </xf>
    <xf numFmtId="9" fontId="9" fillId="7" borderId="16" xfId="0" applyNumberFormat="1" applyFont="1" applyFill="1" applyBorder="1" applyAlignment="1">
      <alignment horizontal="center" vertical="center" wrapText="1"/>
    </xf>
    <xf numFmtId="0" fontId="10" fillId="0" borderId="0" xfId="0" applyFont="1"/>
    <xf numFmtId="0" fontId="9" fillId="7"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44" fontId="10" fillId="0" borderId="17" xfId="0" applyNumberFormat="1" applyFont="1" applyBorder="1" applyAlignment="1">
      <alignment wrapText="1"/>
    </xf>
    <xf numFmtId="44" fontId="10" fillId="0" borderId="4" xfId="0" applyNumberFormat="1" applyFont="1" applyBorder="1" applyAlignment="1">
      <alignment wrapText="1"/>
    </xf>
    <xf numFmtId="0" fontId="10" fillId="0" borderId="3" xfId="0" applyFont="1" applyBorder="1"/>
    <xf numFmtId="44" fontId="0" fillId="8" borderId="3" xfId="2" applyFont="1" applyFill="1" applyBorder="1"/>
    <xf numFmtId="44" fontId="0" fillId="0" borderId="0" xfId="0" applyNumberFormat="1" applyFill="1" applyBorder="1"/>
    <xf numFmtId="0" fontId="10" fillId="0" borderId="9" xfId="0" applyFont="1" applyBorder="1"/>
    <xf numFmtId="44" fontId="10" fillId="0" borderId="3" xfId="0" applyNumberFormat="1" applyFont="1" applyBorder="1"/>
    <xf numFmtId="44" fontId="10" fillId="0" borderId="17" xfId="0" applyNumberFormat="1" applyFont="1" applyBorder="1"/>
    <xf numFmtId="44" fontId="10" fillId="0" borderId="4" xfId="0" applyNumberFormat="1" applyFont="1" applyBorder="1"/>
    <xf numFmtId="0" fontId="16" fillId="9" borderId="12" xfId="0" applyFont="1" applyFill="1" applyBorder="1"/>
    <xf numFmtId="164" fontId="16" fillId="9" borderId="5" xfId="0" applyNumberFormat="1" applyFont="1" applyFill="1" applyBorder="1"/>
    <xf numFmtId="164" fontId="16" fillId="9" borderId="13" xfId="0" applyNumberFormat="1" applyFont="1" applyFill="1" applyBorder="1"/>
    <xf numFmtId="164" fontId="16" fillId="9" borderId="6" xfId="0" applyNumberFormat="1" applyFont="1" applyFill="1" applyBorder="1"/>
    <xf numFmtId="0" fontId="10" fillId="0" borderId="0" xfId="0" applyFont="1" applyBorder="1"/>
    <xf numFmtId="44" fontId="0" fillId="8" borderId="0" xfId="2" applyFont="1" applyFill="1" applyBorder="1"/>
    <xf numFmtId="0" fontId="19" fillId="0" borderId="0" xfId="0" applyFont="1"/>
    <xf numFmtId="0" fontId="20" fillId="0" borderId="0" xfId="11" applyFont="1"/>
    <xf numFmtId="0" fontId="2" fillId="0" borderId="3" xfId="4" applyBorder="1" applyAlignment="1">
      <alignment horizontal="center"/>
    </xf>
    <xf numFmtId="0" fontId="1" fillId="6" borderId="17" xfId="9" applyBorder="1" applyAlignment="1">
      <alignment horizontal="center" vertical="center" wrapText="1"/>
    </xf>
    <xf numFmtId="0" fontId="9" fillId="7" borderId="7" xfId="8" applyFont="1" applyFill="1" applyBorder="1" applyAlignment="1">
      <alignment horizontal="center" vertical="center" wrapText="1"/>
    </xf>
    <xf numFmtId="0" fontId="9" fillId="7" borderId="8" xfId="8" applyFont="1" applyFill="1" applyBorder="1" applyAlignment="1">
      <alignment horizontal="center" vertical="center" wrapText="1"/>
    </xf>
    <xf numFmtId="0" fontId="9" fillId="7" borderId="16" xfId="8" applyFont="1" applyFill="1" applyBorder="1" applyAlignment="1">
      <alignment horizontal="center" vertical="center" wrapText="1"/>
    </xf>
    <xf numFmtId="0" fontId="8" fillId="0" borderId="17" xfId="10" applyBorder="1"/>
    <xf numFmtId="6" fontId="10" fillId="0" borderId="3" xfId="0" applyNumberFormat="1" applyFont="1" applyBorder="1"/>
    <xf numFmtId="6" fontId="10" fillId="0" borderId="4" xfId="0" applyNumberFormat="1" applyFont="1" applyBorder="1"/>
    <xf numFmtId="0" fontId="21" fillId="7" borderId="7" xfId="0" applyFont="1" applyFill="1" applyBorder="1" applyAlignment="1">
      <alignment vertical="center" wrapText="1"/>
    </xf>
    <xf numFmtId="0" fontId="21" fillId="7" borderId="16" xfId="0" applyFont="1" applyFill="1" applyBorder="1" applyAlignment="1">
      <alignment horizontal="right" vertical="center" wrapText="1"/>
    </xf>
    <xf numFmtId="0" fontId="21" fillId="11" borderId="0" xfId="0" applyFont="1" applyFill="1" applyBorder="1" applyAlignment="1">
      <alignment vertical="center" wrapText="1"/>
    </xf>
    <xf numFmtId="0" fontId="10" fillId="0" borderId="9" xfId="0" applyFont="1" applyBorder="1" applyAlignment="1">
      <alignment vertical="center" wrapText="1"/>
    </xf>
    <xf numFmtId="6" fontId="10" fillId="0" borderId="4" xfId="0" applyNumberFormat="1" applyFont="1" applyBorder="1" applyAlignment="1">
      <alignment horizontal="right" vertical="center" wrapText="1"/>
    </xf>
    <xf numFmtId="0" fontId="10" fillId="11" borderId="0" xfId="0" applyFont="1" applyFill="1" applyBorder="1" applyAlignment="1">
      <alignment vertical="center" wrapText="1"/>
    </xf>
    <xf numFmtId="0" fontId="9" fillId="9" borderId="12" xfId="0" applyFont="1" applyFill="1" applyBorder="1" applyAlignment="1">
      <alignment vertical="center" wrapText="1"/>
    </xf>
    <xf numFmtId="6" fontId="9" fillId="9" borderId="6" xfId="0" applyNumberFormat="1" applyFont="1" applyFill="1" applyBorder="1" applyAlignment="1">
      <alignment horizontal="right" vertical="center" wrapText="1"/>
    </xf>
    <xf numFmtId="0" fontId="16" fillId="11" borderId="0" xfId="0" applyFont="1" applyFill="1" applyBorder="1" applyAlignment="1">
      <alignment vertical="center" wrapText="1"/>
    </xf>
    <xf numFmtId="0" fontId="8" fillId="0" borderId="0" xfId="10" applyBorder="1"/>
    <xf numFmtId="0" fontId="21" fillId="7" borderId="8" xfId="0" applyFont="1" applyFill="1" applyBorder="1" applyAlignment="1">
      <alignment horizontal="center" vertical="center" wrapText="1"/>
    </xf>
    <xf numFmtId="0" fontId="21" fillId="7" borderId="16" xfId="0" applyFont="1" applyFill="1" applyBorder="1" applyAlignment="1">
      <alignment horizontal="center" vertical="center" wrapText="1"/>
    </xf>
    <xf numFmtId="17" fontId="10" fillId="0" borderId="3" xfId="0" applyNumberFormat="1" applyFont="1" applyBorder="1" applyAlignment="1">
      <alignment horizontal="center" vertical="center" wrapText="1"/>
    </xf>
    <xf numFmtId="17" fontId="10" fillId="0" borderId="4" xfId="0" applyNumberFormat="1" applyFont="1" applyBorder="1" applyAlignment="1">
      <alignment horizontal="center" vertical="center" wrapText="1"/>
    </xf>
    <xf numFmtId="0" fontId="10" fillId="0" borderId="12" xfId="0" applyFont="1" applyBorder="1" applyAlignment="1">
      <alignment vertical="center" wrapText="1"/>
    </xf>
    <xf numFmtId="17" fontId="10" fillId="0" borderId="5" xfId="0" applyNumberFormat="1" applyFont="1" applyBorder="1" applyAlignment="1">
      <alignment horizontal="center" vertical="center" wrapText="1"/>
    </xf>
    <xf numFmtId="167" fontId="10" fillId="0" borderId="6" xfId="0" applyNumberFormat="1" applyFont="1" applyBorder="1" applyAlignment="1">
      <alignment horizontal="center" vertical="center" wrapText="1"/>
    </xf>
    <xf numFmtId="0" fontId="22" fillId="0" borderId="0" xfId="0" applyFont="1" applyFill="1" applyBorder="1" applyAlignment="1">
      <alignment vertical="center" wrapText="1"/>
    </xf>
    <xf numFmtId="0" fontId="9" fillId="9" borderId="3" xfId="7" applyFont="1" applyFill="1" applyBorder="1"/>
    <xf numFmtId="0" fontId="10" fillId="0" borderId="18" xfId="0" applyFont="1" applyBorder="1"/>
    <xf numFmtId="0" fontId="2" fillId="0" borderId="1" xfId="3" applyAlignment="1">
      <alignment horizontal="left" vertical="top"/>
    </xf>
    <xf numFmtId="0" fontId="2" fillId="0" borderId="1" xfId="3" applyAlignment="1">
      <alignment horizontal="center"/>
    </xf>
    <xf numFmtId="0" fontId="10" fillId="0" borderId="19" xfId="0" applyFont="1" applyBorder="1"/>
    <xf numFmtId="0" fontId="10" fillId="7" borderId="19" xfId="0" applyFont="1" applyFill="1" applyBorder="1"/>
    <xf numFmtId="0" fontId="10" fillId="7" borderId="21" xfId="0" applyFont="1" applyFill="1" applyBorder="1"/>
    <xf numFmtId="0" fontId="10" fillId="7" borderId="0" xfId="0" applyFont="1" applyFill="1" applyBorder="1"/>
    <xf numFmtId="0" fontId="10" fillId="7" borderId="23" xfId="0" applyFont="1" applyFill="1" applyBorder="1"/>
    <xf numFmtId="0" fontId="10" fillId="0" borderId="22" xfId="0" applyFont="1" applyBorder="1"/>
    <xf numFmtId="0" fontId="10" fillId="0" borderId="0" xfId="0" applyFont="1" applyBorder="1" applyAlignment="1">
      <alignment horizontal="center"/>
    </xf>
    <xf numFmtId="0" fontId="23" fillId="0" borderId="0" xfId="0" applyFont="1" applyBorder="1" applyAlignment="1">
      <alignment horizontal="center"/>
    </xf>
    <xf numFmtId="0" fontId="10" fillId="0" borderId="0" xfId="0" applyFont="1" applyFill="1" applyBorder="1"/>
    <xf numFmtId="0" fontId="10" fillId="0" borderId="23" xfId="0" applyFont="1" applyBorder="1"/>
    <xf numFmtId="0" fontId="9" fillId="7" borderId="3" xfId="0" applyFont="1" applyFill="1" applyBorder="1" applyAlignment="1">
      <alignment vertical="center" wrapText="1"/>
    </xf>
    <xf numFmtId="0" fontId="24" fillId="7" borderId="3" xfId="0" applyFont="1" applyFill="1" applyBorder="1" applyAlignment="1">
      <alignment vertical="center" wrapText="1"/>
    </xf>
    <xf numFmtId="0" fontId="10" fillId="0" borderId="0" xfId="0" applyFont="1" applyBorder="1" applyAlignment="1">
      <alignment vertical="center" wrapText="1"/>
    </xf>
    <xf numFmtId="0" fontId="10" fillId="0" borderId="3" xfId="0" applyFont="1" applyBorder="1" applyAlignment="1">
      <alignment horizontal="center"/>
    </xf>
    <xf numFmtId="38" fontId="10" fillId="0" borderId="3" xfId="1" applyNumberFormat="1" applyFont="1" applyBorder="1" applyAlignment="1">
      <alignment horizontal="center"/>
    </xf>
    <xf numFmtId="2" fontId="10" fillId="0" borderId="3" xfId="0" applyNumberFormat="1" applyFont="1" applyBorder="1" applyAlignment="1">
      <alignment horizontal="center"/>
    </xf>
    <xf numFmtId="8" fontId="10" fillId="0" borderId="3" xfId="0" applyNumberFormat="1" applyFont="1" applyBorder="1" applyAlignment="1">
      <alignment horizontal="center"/>
    </xf>
    <xf numFmtId="6" fontId="10" fillId="0" borderId="3" xfId="0" applyNumberFormat="1" applyFont="1" applyBorder="1" applyAlignment="1">
      <alignment horizontal="center"/>
    </xf>
    <xf numFmtId="0" fontId="10" fillId="0" borderId="3" xfId="0" applyFont="1" applyFill="1" applyBorder="1"/>
    <xf numFmtId="0" fontId="9" fillId="9" borderId="3" xfId="6" applyFont="1" applyFill="1" applyBorder="1"/>
    <xf numFmtId="0" fontId="9" fillId="9" borderId="3" xfId="6" applyFont="1" applyFill="1" applyBorder="1" applyAlignment="1">
      <alignment horizontal="center"/>
    </xf>
    <xf numFmtId="38" fontId="9" fillId="9" borderId="3" xfId="6" applyNumberFormat="1" applyFont="1" applyFill="1" applyBorder="1" applyAlignment="1">
      <alignment horizontal="center"/>
    </xf>
    <xf numFmtId="8" fontId="9" fillId="9" borderId="3" xfId="6" applyNumberFormat="1" applyFont="1" applyFill="1" applyBorder="1" applyAlignment="1">
      <alignment horizontal="center"/>
    </xf>
    <xf numFmtId="6" fontId="9" fillId="9" borderId="3" xfId="6" applyNumberFormat="1" applyFont="1" applyFill="1" applyBorder="1" applyAlignment="1">
      <alignment horizontal="center"/>
    </xf>
    <xf numFmtId="2" fontId="10" fillId="0" borderId="0" xfId="0" applyNumberFormat="1" applyFont="1" applyBorder="1" applyAlignment="1">
      <alignment horizontal="center"/>
    </xf>
    <xf numFmtId="38" fontId="10" fillId="0" borderId="0" xfId="0" applyNumberFormat="1" applyFont="1" applyBorder="1" applyAlignment="1">
      <alignment horizontal="center"/>
    </xf>
    <xf numFmtId="8" fontId="10" fillId="0" borderId="0" xfId="0" applyNumberFormat="1" applyFont="1" applyBorder="1" applyAlignment="1">
      <alignment horizontal="center"/>
    </xf>
    <xf numFmtId="6" fontId="10" fillId="0" borderId="0" xfId="0" applyNumberFormat="1" applyFont="1" applyBorder="1" applyAlignment="1">
      <alignment horizontal="center"/>
    </xf>
    <xf numFmtId="0" fontId="16" fillId="0" borderId="0" xfId="0" applyFont="1" applyBorder="1"/>
    <xf numFmtId="2" fontId="16" fillId="0" borderId="0" xfId="0" applyNumberFormat="1" applyFont="1" applyBorder="1" applyAlignment="1">
      <alignment horizontal="center"/>
    </xf>
    <xf numFmtId="38" fontId="16" fillId="0" borderId="0" xfId="0" applyNumberFormat="1" applyFont="1" applyBorder="1" applyAlignment="1">
      <alignment horizontal="center"/>
    </xf>
    <xf numFmtId="8" fontId="16" fillId="0" borderId="0" xfId="0" applyNumberFormat="1" applyFont="1" applyBorder="1" applyAlignment="1">
      <alignment horizontal="center"/>
    </xf>
    <xf numFmtId="0" fontId="16" fillId="0" borderId="0" xfId="0" applyFont="1" applyBorder="1" applyAlignment="1">
      <alignment horizontal="center"/>
    </xf>
    <xf numFmtId="6" fontId="16" fillId="0" borderId="0" xfId="0" applyNumberFormat="1" applyFont="1" applyBorder="1" applyAlignment="1">
      <alignment horizontal="center"/>
    </xf>
    <xf numFmtId="0" fontId="25" fillId="0" borderId="0" xfId="0" applyFont="1" applyBorder="1"/>
    <xf numFmtId="0" fontId="22" fillId="0" borderId="0" xfId="0" applyFont="1" applyBorder="1"/>
    <xf numFmtId="0" fontId="26" fillId="0" borderId="0" xfId="11" applyFont="1" applyBorder="1"/>
    <xf numFmtId="0" fontId="25" fillId="0" borderId="0" xfId="0" applyFont="1" applyBorder="1" applyAlignment="1">
      <alignment horizontal="center"/>
    </xf>
    <xf numFmtId="38" fontId="25" fillId="0" borderId="0" xfId="0" applyNumberFormat="1" applyFont="1" applyBorder="1" applyAlignment="1">
      <alignment horizontal="center"/>
    </xf>
    <xf numFmtId="6" fontId="22" fillId="0" borderId="0" xfId="0" applyNumberFormat="1" applyFont="1" applyBorder="1" applyAlignment="1">
      <alignment horizontal="center"/>
    </xf>
    <xf numFmtId="0" fontId="10" fillId="0" borderId="24" xfId="0" applyFont="1" applyBorder="1"/>
    <xf numFmtId="0" fontId="10" fillId="0" borderId="25" xfId="0" applyFont="1" applyBorder="1"/>
    <xf numFmtId="0" fontId="10" fillId="0" borderId="26" xfId="0" applyFont="1" applyBorder="1"/>
    <xf numFmtId="0" fontId="16" fillId="0" borderId="0" xfId="0" applyFont="1" applyAlignment="1">
      <alignment horizontal="left"/>
    </xf>
    <xf numFmtId="0" fontId="10" fillId="0" borderId="0" xfId="0" applyFont="1" applyAlignment="1">
      <alignment horizontal="left"/>
    </xf>
    <xf numFmtId="0" fontId="16" fillId="0" borderId="0" xfId="0" applyFont="1"/>
    <xf numFmtId="0" fontId="10" fillId="0" borderId="7" xfId="0" applyFont="1" applyBorder="1"/>
    <xf numFmtId="1" fontId="10" fillId="8" borderId="3" xfId="0" applyNumberFormat="1" applyFont="1" applyFill="1" applyBorder="1" applyAlignment="1">
      <alignment wrapText="1"/>
    </xf>
    <xf numFmtId="1" fontId="27" fillId="4" borderId="3" xfId="7" applyNumberFormat="1" applyFont="1" applyBorder="1" applyAlignment="1">
      <alignment wrapText="1"/>
    </xf>
    <xf numFmtId="1" fontId="27" fillId="4" borderId="3" xfId="7" applyNumberFormat="1" applyFont="1" applyBorder="1" applyAlignment="1">
      <alignment horizontal="right" wrapText="1"/>
    </xf>
    <xf numFmtId="44" fontId="27" fillId="0" borderId="3" xfId="2" applyFont="1" applyFill="1" applyBorder="1" applyAlignment="1">
      <alignment horizontal="right" wrapText="1"/>
    </xf>
    <xf numFmtId="3" fontId="9" fillId="9" borderId="5" xfId="7" applyNumberFormat="1" applyFont="1" applyFill="1" applyBorder="1" applyAlignment="1">
      <alignment horizontal="center" vertical="center" wrapText="1"/>
    </xf>
    <xf numFmtId="0" fontId="9" fillId="9" borderId="12" xfId="0" applyFont="1" applyFill="1" applyBorder="1"/>
    <xf numFmtId="0" fontId="9" fillId="9" borderId="5" xfId="0" applyFont="1" applyFill="1" applyBorder="1"/>
    <xf numFmtId="44" fontId="9" fillId="9" borderId="5" xfId="0" applyNumberFormat="1" applyFont="1" applyFill="1" applyBorder="1"/>
    <xf numFmtId="0" fontId="22" fillId="0" borderId="0" xfId="0" applyFont="1"/>
    <xf numFmtId="0" fontId="9" fillId="12" borderId="8" xfId="0" applyFont="1" applyFill="1" applyBorder="1"/>
    <xf numFmtId="0" fontId="9" fillId="7" borderId="20" xfId="9" applyFont="1" applyFill="1" applyBorder="1"/>
    <xf numFmtId="0" fontId="9" fillId="7" borderId="19" xfId="9" applyFont="1" applyFill="1" applyBorder="1"/>
    <xf numFmtId="0" fontId="9" fillId="7" borderId="21" xfId="9" applyFont="1" applyFill="1" applyBorder="1" applyAlignment="1">
      <alignment horizontal="right"/>
    </xf>
    <xf numFmtId="0" fontId="0" fillId="7" borderId="19" xfId="0" applyFill="1" applyBorder="1"/>
    <xf numFmtId="0" fontId="0" fillId="7" borderId="21" xfId="0" applyFill="1" applyBorder="1"/>
    <xf numFmtId="0" fontId="9" fillId="0" borderId="0" xfId="9" applyFont="1" applyFill="1" applyBorder="1"/>
    <xf numFmtId="0" fontId="16" fillId="0" borderId="22" xfId="0" applyFont="1" applyBorder="1"/>
    <xf numFmtId="0" fontId="0" fillId="0" borderId="0" xfId="0" applyBorder="1"/>
    <xf numFmtId="0" fontId="0" fillId="0" borderId="23" xfId="0" applyBorder="1"/>
    <xf numFmtId="0" fontId="16" fillId="0" borderId="0" xfId="0" applyFont="1" applyFill="1" applyBorder="1"/>
    <xf numFmtId="0" fontId="28" fillId="0" borderId="22" xfId="0" applyFont="1" applyBorder="1"/>
    <xf numFmtId="0" fontId="28" fillId="0" borderId="0" xfId="0" applyFont="1" applyFill="1" applyBorder="1"/>
    <xf numFmtId="0" fontId="22" fillId="0" borderId="22" xfId="0" applyFont="1" applyBorder="1"/>
    <xf numFmtId="0" fontId="22" fillId="0" borderId="0" xfId="0" applyFont="1" applyFill="1" applyBorder="1"/>
    <xf numFmtId="0" fontId="10" fillId="0" borderId="23" xfId="0" applyFont="1" applyBorder="1" applyAlignment="1">
      <alignment horizontal="center"/>
    </xf>
    <xf numFmtId="0" fontId="10" fillId="0" borderId="0" xfId="0" applyFont="1" applyFill="1" applyBorder="1" applyAlignment="1">
      <alignment horizontal="center"/>
    </xf>
    <xf numFmtId="0" fontId="29" fillId="0" borderId="22" xfId="0" applyFont="1" applyBorder="1"/>
    <xf numFmtId="0" fontId="10" fillId="0" borderId="0" xfId="0" applyFont="1" applyBorder="1" applyAlignment="1">
      <alignment horizontal="right"/>
    </xf>
    <xf numFmtId="0" fontId="29" fillId="0" borderId="0" xfId="0" applyFont="1" applyFill="1" applyBorder="1"/>
    <xf numFmtId="0" fontId="10" fillId="0" borderId="0" xfId="0" applyFont="1" applyFill="1" applyBorder="1" applyAlignment="1">
      <alignment horizontal="right"/>
    </xf>
    <xf numFmtId="2" fontId="10" fillId="0" borderId="0" xfId="0" applyNumberFormat="1" applyFont="1" applyBorder="1"/>
    <xf numFmtId="2" fontId="10" fillId="0" borderId="0" xfId="0" applyNumberFormat="1" applyFont="1" applyFill="1" applyBorder="1"/>
    <xf numFmtId="0" fontId="10" fillId="0" borderId="22" xfId="0" applyFont="1" applyBorder="1" applyAlignment="1">
      <alignment horizontal="right"/>
    </xf>
    <xf numFmtId="44" fontId="10" fillId="0" borderId="0" xfId="2" applyFont="1" applyBorder="1"/>
    <xf numFmtId="44" fontId="10" fillId="0" borderId="0" xfId="0" applyNumberFormat="1" applyFont="1" applyBorder="1"/>
    <xf numFmtId="44" fontId="10" fillId="0" borderId="23" xfId="0" applyNumberFormat="1" applyFont="1" applyBorder="1"/>
    <xf numFmtId="44" fontId="10" fillId="0" borderId="0" xfId="2" applyFont="1" applyFill="1" applyBorder="1"/>
    <xf numFmtId="44" fontId="10" fillId="0" borderId="0" xfId="0" applyNumberFormat="1" applyFont="1" applyFill="1" applyBorder="1"/>
    <xf numFmtId="0" fontId="6" fillId="9" borderId="22" xfId="0" applyFont="1" applyFill="1" applyBorder="1"/>
    <xf numFmtId="0" fontId="6" fillId="9" borderId="0" xfId="0" applyFont="1" applyFill="1" applyBorder="1"/>
    <xf numFmtId="44" fontId="6" fillId="9" borderId="0" xfId="0" applyNumberFormat="1" applyFont="1" applyFill="1" applyBorder="1"/>
    <xf numFmtId="44" fontId="6" fillId="0" borderId="0" xfId="0" applyNumberFormat="1" applyFont="1" applyFill="1" applyBorder="1"/>
    <xf numFmtId="0" fontId="17" fillId="0" borderId="0" xfId="11"/>
    <xf numFmtId="0" fontId="9" fillId="0" borderId="0" xfId="0" applyFont="1" applyFill="1" applyBorder="1" applyAlignment="1">
      <alignment horizontal="right"/>
    </xf>
    <xf numFmtId="0" fontId="9" fillId="0" borderId="0" xfId="0" applyFont="1" applyFill="1" applyBorder="1"/>
    <xf numFmtId="44" fontId="9" fillId="0" borderId="0" xfId="0" applyNumberFormat="1" applyFont="1" applyFill="1" applyBorder="1"/>
    <xf numFmtId="0" fontId="22" fillId="0" borderId="24" xfId="0" applyFont="1" applyBorder="1"/>
    <xf numFmtId="0" fontId="0" fillId="0" borderId="25" xfId="0" applyBorder="1"/>
    <xf numFmtId="0" fontId="0" fillId="0" borderId="26" xfId="0" applyBorder="1"/>
    <xf numFmtId="0" fontId="9" fillId="0" borderId="0" xfId="8" applyFont="1" applyFill="1" applyBorder="1"/>
    <xf numFmtId="0" fontId="9" fillId="0" borderId="0" xfId="8" applyFont="1" applyFill="1" applyBorder="1" applyAlignment="1">
      <alignment horizontal="right"/>
    </xf>
    <xf numFmtId="0" fontId="16" fillId="0" borderId="0" xfId="0" applyFont="1" applyFill="1" applyBorder="1" applyAlignment="1">
      <alignment horizontal="center"/>
    </xf>
    <xf numFmtId="0" fontId="0" fillId="0" borderId="0" xfId="0" applyFill="1" applyBorder="1"/>
    <xf numFmtId="0" fontId="6" fillId="0" borderId="0" xfId="0" applyFont="1" applyFill="1" applyBorder="1"/>
    <xf numFmtId="0" fontId="6" fillId="0" borderId="0" xfId="0" applyFont="1" applyFill="1" applyBorder="1" applyAlignment="1">
      <alignment horizontal="right"/>
    </xf>
    <xf numFmtId="0" fontId="8" fillId="0" borderId="0" xfId="10" applyFill="1" applyBorder="1"/>
    <xf numFmtId="44" fontId="8" fillId="0" borderId="0" xfId="10" applyNumberFormat="1" applyFill="1" applyBorder="1"/>
    <xf numFmtId="0" fontId="9" fillId="0" borderId="0" xfId="6" applyFont="1" applyFill="1" applyBorder="1"/>
    <xf numFmtId="44" fontId="9" fillId="0" borderId="0" xfId="6" applyNumberFormat="1" applyFont="1" applyFill="1" applyBorder="1"/>
    <xf numFmtId="8" fontId="10" fillId="0" borderId="0" xfId="0" applyNumberFormat="1" applyFont="1" applyFill="1" applyBorder="1"/>
    <xf numFmtId="44" fontId="9" fillId="0" borderId="0" xfId="2" applyFont="1" applyFill="1" applyBorder="1"/>
    <xf numFmtId="0" fontId="22" fillId="0" borderId="0" xfId="0" applyFont="1" applyFill="1" applyBorder="1" applyAlignment="1">
      <alignment wrapText="1"/>
    </xf>
    <xf numFmtId="0" fontId="21" fillId="7" borderId="3" xfId="0" applyFont="1" applyFill="1" applyBorder="1" applyAlignment="1">
      <alignment vertical="center" wrapText="1"/>
    </xf>
    <xf numFmtId="0" fontId="21" fillId="7" borderId="3" xfId="0" applyFont="1" applyFill="1" applyBorder="1" applyAlignment="1">
      <alignment horizontal="right" vertical="center" wrapText="1"/>
    </xf>
    <xf numFmtId="0" fontId="10" fillId="0" borderId="3" xfId="0" applyFont="1" applyBorder="1" applyAlignment="1">
      <alignment vertical="center" wrapText="1"/>
    </xf>
    <xf numFmtId="6" fontId="10" fillId="0" borderId="3" xfId="0" applyNumberFormat="1" applyFont="1" applyBorder="1" applyAlignment="1">
      <alignment horizontal="right" vertical="center" wrapText="1"/>
    </xf>
    <xf numFmtId="0" fontId="9" fillId="9" borderId="3" xfId="0" applyFont="1" applyFill="1" applyBorder="1" applyAlignment="1">
      <alignment vertical="center" wrapText="1"/>
    </xf>
    <xf numFmtId="6" fontId="9" fillId="9" borderId="3" xfId="0" applyNumberFormat="1" applyFont="1" applyFill="1" applyBorder="1" applyAlignment="1">
      <alignment horizontal="right" vertical="center" wrapText="1"/>
    </xf>
    <xf numFmtId="9" fontId="10" fillId="0" borderId="0" xfId="12" applyFont="1"/>
    <xf numFmtId="44" fontId="10" fillId="0" borderId="27" xfId="0" applyNumberFormat="1" applyFont="1" applyBorder="1"/>
    <xf numFmtId="44" fontId="10" fillId="0" borderId="28" xfId="0" applyNumberFormat="1" applyFont="1" applyBorder="1"/>
    <xf numFmtId="0" fontId="10" fillId="0" borderId="3" xfId="0" applyFont="1" applyBorder="1"/>
    <xf numFmtId="0" fontId="8" fillId="0" borderId="3" xfId="10" applyBorder="1"/>
    <xf numFmtId="6" fontId="9" fillId="9" borderId="3" xfId="7" applyNumberFormat="1" applyFont="1" applyFill="1" applyBorder="1"/>
    <xf numFmtId="3" fontId="0" fillId="0" borderId="0" xfId="0" applyNumberFormat="1"/>
    <xf numFmtId="6" fontId="0" fillId="0" borderId="0" xfId="0" applyNumberFormat="1"/>
    <xf numFmtId="9" fontId="0" fillId="0" borderId="0" xfId="12" applyFont="1"/>
    <xf numFmtId="0" fontId="10" fillId="8" borderId="0" xfId="0" applyFont="1" applyFill="1" applyBorder="1"/>
    <xf numFmtId="0" fontId="10" fillId="0" borderId="0" xfId="0" applyFont="1" applyBorder="1"/>
    <xf numFmtId="0" fontId="18" fillId="0" borderId="0" xfId="11" applyFont="1"/>
    <xf numFmtId="0" fontId="2" fillId="0" borderId="1" xfId="3" applyFont="1" applyAlignment="1">
      <alignment horizontal="left" wrapText="1"/>
    </xf>
    <xf numFmtId="165" fontId="9" fillId="9" borderId="13" xfId="7" applyNumberFormat="1" applyFont="1" applyFill="1" applyBorder="1" applyAlignment="1">
      <alignment horizontal="center" vertical="center" wrapText="1"/>
    </xf>
    <xf numFmtId="165" fontId="9" fillId="9" borderId="14" xfId="7"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10" fillId="0" borderId="3" xfId="0" applyFont="1" applyBorder="1"/>
    <xf numFmtId="0" fontId="9" fillId="7" borderId="20" xfId="9" applyFont="1" applyFill="1" applyBorder="1" applyAlignment="1">
      <alignment vertical="top" wrapText="1"/>
    </xf>
    <xf numFmtId="0" fontId="9" fillId="7" borderId="19" xfId="9" applyFont="1" applyFill="1" applyBorder="1" applyAlignment="1">
      <alignment vertical="top" wrapText="1"/>
    </xf>
    <xf numFmtId="0" fontId="9" fillId="7" borderId="22" xfId="9" applyFont="1" applyFill="1" applyBorder="1" applyAlignment="1">
      <alignment vertical="top" wrapText="1"/>
    </xf>
    <xf numFmtId="0" fontId="9" fillId="7" borderId="0" xfId="9" applyFont="1" applyFill="1" applyBorder="1" applyAlignment="1">
      <alignment vertical="top" wrapText="1"/>
    </xf>
  </cellXfs>
  <cellStyles count="13">
    <cellStyle name="20% - Accent1" xfId="8" builtinId="30"/>
    <cellStyle name="20% - Accent5" xfId="9" builtinId="46"/>
    <cellStyle name="Bad" xfId="6" builtinId="27"/>
    <cellStyle name="Comma" xfId="1" builtinId="3"/>
    <cellStyle name="Currency" xfId="2" builtinId="4"/>
    <cellStyle name="Good" xfId="5" builtinId="26"/>
    <cellStyle name="Heading 3" xfId="3" builtinId="18"/>
    <cellStyle name="Heading 4" xfId="4" builtinId="19"/>
    <cellStyle name="Hyperlink" xfId="11" builtinId="8"/>
    <cellStyle name="Normal" xfId="0" builtinId="0"/>
    <cellStyle name="Normal 2" xfId="10"/>
    <cellStyle name="Output" xfId="7" builtinId="21"/>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66676</xdr:colOff>
      <xdr:row>18</xdr:row>
      <xdr:rowOff>57150</xdr:rowOff>
    </xdr:from>
    <xdr:ext cx="3076574" cy="942975"/>
    <xdr:sp macro="" textlink="">
      <xdr:nvSpPr>
        <xdr:cNvPr id="2" name="TextBox 1"/>
        <xdr:cNvSpPr txBox="1"/>
      </xdr:nvSpPr>
      <xdr:spPr>
        <a:xfrm>
          <a:off x="676276" y="3867150"/>
          <a:ext cx="3076574" cy="942975"/>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19050">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rPr>
            <a:t>Construction</a:t>
          </a:r>
          <a:r>
            <a:rPr lang="en-US" sz="1000" b="1" baseline="0">
              <a:solidFill>
                <a:schemeClr val="tx1"/>
              </a:solidFill>
            </a:rPr>
            <a:t> will be scheduled to minimize impacts on residents by building during the summer months. Therefore, the impact of construction on travel time was not considered.</a:t>
          </a:r>
        </a:p>
        <a:p>
          <a:endParaRPr lang="en-US" sz="1000" b="1" baseline="0">
            <a:solidFill>
              <a:schemeClr val="tx1"/>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dot.gov/office-policy/transportation-policy/guidance-value-ti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F7:N29"/>
  <sheetViews>
    <sheetView workbookViewId="0">
      <selection activeCell="K27" sqref="K27"/>
    </sheetView>
  </sheetViews>
  <sheetFormatPr defaultRowHeight="15" x14ac:dyDescent="0.25"/>
  <cols>
    <col min="5" max="5" width="11.5703125" customWidth="1"/>
    <col min="6" max="6" width="23.28515625" customWidth="1"/>
    <col min="7" max="7" width="16.42578125" customWidth="1"/>
    <col min="8" max="9" width="18.5703125" customWidth="1"/>
    <col min="10" max="10" width="21" customWidth="1"/>
    <col min="11" max="11" width="26.85546875" customWidth="1"/>
    <col min="12" max="12" width="24" bestFit="1" customWidth="1"/>
    <col min="13" max="13" width="18.140625" bestFit="1" customWidth="1"/>
    <col min="14" max="14" width="18" bestFit="1" customWidth="1"/>
  </cols>
  <sheetData>
    <row r="7" spans="6:14" s="2" customFormat="1" x14ac:dyDescent="0.25"/>
    <row r="8" spans="6:14" x14ac:dyDescent="0.25">
      <c r="F8" s="1"/>
      <c r="J8" s="3"/>
      <c r="K8" s="3"/>
      <c r="L8" s="3"/>
      <c r="M8" s="3"/>
      <c r="N8" s="3"/>
    </row>
    <row r="9" spans="6:14" x14ac:dyDescent="0.25">
      <c r="F9" s="1"/>
      <c r="I9" s="3"/>
      <c r="J9" s="3"/>
      <c r="K9" s="3"/>
      <c r="L9" s="3"/>
      <c r="M9" s="3"/>
      <c r="N9" s="3"/>
    </row>
    <row r="10" spans="6:14" x14ac:dyDescent="0.25">
      <c r="F10" s="1"/>
      <c r="G10" s="1"/>
      <c r="J10" s="3"/>
      <c r="K10" s="3"/>
      <c r="L10" s="3"/>
      <c r="M10" s="3"/>
      <c r="N10" s="3"/>
    </row>
    <row r="11" spans="6:14" x14ac:dyDescent="0.25">
      <c r="F11" s="1"/>
      <c r="G11" s="1"/>
      <c r="J11" s="3"/>
      <c r="K11" s="3"/>
      <c r="L11" s="3"/>
      <c r="M11" s="3"/>
      <c r="N11" s="3"/>
    </row>
    <row r="12" spans="6:14" x14ac:dyDescent="0.25">
      <c r="F12" s="1"/>
      <c r="G12" s="1"/>
      <c r="J12" s="3"/>
      <c r="K12" s="3"/>
      <c r="L12" s="3"/>
      <c r="M12" s="3"/>
      <c r="N12" s="3"/>
    </row>
    <row r="13" spans="6:14" x14ac:dyDescent="0.25">
      <c r="F13" s="1"/>
      <c r="G13" s="1"/>
      <c r="J13" s="3"/>
      <c r="K13" s="3"/>
      <c r="L13" s="3"/>
      <c r="M13" s="3"/>
      <c r="N13" s="3"/>
    </row>
    <row r="14" spans="6:14" x14ac:dyDescent="0.25">
      <c r="F14" s="1"/>
      <c r="G14" s="1"/>
      <c r="J14" s="3"/>
      <c r="K14" s="3"/>
      <c r="L14" s="3"/>
      <c r="M14" s="3"/>
      <c r="N14" s="3"/>
    </row>
    <row r="15" spans="6:14" x14ac:dyDescent="0.25">
      <c r="F15" s="1"/>
      <c r="G15" s="1"/>
      <c r="J15" s="3"/>
      <c r="K15" s="3"/>
      <c r="L15" s="3"/>
      <c r="M15" s="3"/>
      <c r="N15" s="3"/>
    </row>
    <row r="16" spans="6:14" x14ac:dyDescent="0.25">
      <c r="F16" s="1"/>
      <c r="G16" s="1"/>
      <c r="J16" s="3"/>
      <c r="K16" s="3"/>
      <c r="L16" s="3"/>
      <c r="M16" s="3"/>
      <c r="N16" s="3"/>
    </row>
    <row r="17" spans="6:14" x14ac:dyDescent="0.25">
      <c r="F17" s="1"/>
      <c r="G17" s="1"/>
      <c r="J17" s="3"/>
      <c r="K17" s="3"/>
      <c r="L17" s="3"/>
      <c r="M17" s="3"/>
      <c r="N17" s="3"/>
    </row>
    <row r="18" spans="6:14" x14ac:dyDescent="0.25">
      <c r="F18" s="1"/>
      <c r="G18" s="1"/>
      <c r="J18" s="3"/>
      <c r="K18" s="3"/>
      <c r="L18" s="3"/>
      <c r="M18" s="3"/>
      <c r="N18" s="3"/>
    </row>
    <row r="19" spans="6:14" x14ac:dyDescent="0.25">
      <c r="F19" s="1"/>
      <c r="G19" s="1"/>
      <c r="J19" s="3"/>
      <c r="K19" s="3"/>
      <c r="L19" s="3"/>
      <c r="M19" s="3"/>
      <c r="N19" s="3"/>
    </row>
    <row r="20" spans="6:14" x14ac:dyDescent="0.25">
      <c r="F20" s="1"/>
      <c r="G20" s="1"/>
      <c r="J20" s="3"/>
      <c r="K20" s="3"/>
      <c r="L20" s="3"/>
      <c r="M20" s="3"/>
      <c r="N20" s="3"/>
    </row>
    <row r="21" spans="6:14" x14ac:dyDescent="0.25">
      <c r="F21" s="1"/>
      <c r="G21" s="1"/>
      <c r="J21" s="3"/>
      <c r="K21" s="3"/>
      <c r="L21" s="3"/>
      <c r="M21" s="3"/>
      <c r="N21" s="3"/>
    </row>
    <row r="22" spans="6:14" x14ac:dyDescent="0.25">
      <c r="F22" s="1"/>
      <c r="G22" s="1"/>
      <c r="J22" s="3"/>
      <c r="K22" s="3"/>
      <c r="L22" s="3"/>
      <c r="M22" s="3"/>
      <c r="N22" s="3"/>
    </row>
    <row r="23" spans="6:14" x14ac:dyDescent="0.25">
      <c r="F23" s="1"/>
      <c r="G23" s="1"/>
      <c r="J23" s="3"/>
      <c r="K23" s="3"/>
      <c r="L23" s="3"/>
      <c r="M23" s="3"/>
      <c r="N23" s="3"/>
    </row>
    <row r="24" spans="6:14" x14ac:dyDescent="0.25">
      <c r="F24" s="1"/>
      <c r="G24" s="1"/>
      <c r="J24" s="3"/>
      <c r="K24" s="3"/>
      <c r="L24" s="3"/>
      <c r="M24" s="3"/>
      <c r="N24" s="3"/>
    </row>
    <row r="25" spans="6:14" x14ac:dyDescent="0.25">
      <c r="F25" s="1"/>
      <c r="G25" s="1"/>
      <c r="J25" s="3"/>
      <c r="K25" s="3"/>
      <c r="L25" s="3"/>
      <c r="M25" s="3"/>
      <c r="N25" s="3"/>
    </row>
    <row r="26" spans="6:14" x14ac:dyDescent="0.25">
      <c r="F26" s="1"/>
      <c r="G26" s="1"/>
      <c r="J26" s="3"/>
      <c r="K26" s="3"/>
      <c r="L26" s="3"/>
      <c r="M26" s="3"/>
      <c r="N26" s="3"/>
    </row>
    <row r="27" spans="6:14" x14ac:dyDescent="0.25">
      <c r="F27" s="1"/>
      <c r="G27" s="1"/>
      <c r="J27" s="3"/>
      <c r="K27" s="3"/>
      <c r="L27" s="3"/>
      <c r="M27" s="3"/>
      <c r="N27" s="3"/>
    </row>
    <row r="28" spans="6:14" x14ac:dyDescent="0.25">
      <c r="F28" s="1"/>
      <c r="G28" s="1"/>
      <c r="J28" s="3"/>
      <c r="K28" s="3"/>
      <c r="L28" s="3"/>
      <c r="M28" s="3"/>
      <c r="N28" s="3"/>
    </row>
    <row r="29" spans="6:14" x14ac:dyDescent="0.25">
      <c r="M29" s="4"/>
      <c r="N29"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U44"/>
  <sheetViews>
    <sheetView tabSelected="1" zoomScaleNormal="100" workbookViewId="0">
      <selection activeCell="I31" sqref="I31"/>
    </sheetView>
  </sheetViews>
  <sheetFormatPr defaultRowHeight="15" x14ac:dyDescent="0.25"/>
  <cols>
    <col min="1" max="1" width="10.85546875" bestFit="1" customWidth="1"/>
    <col min="2" max="2" width="15.7109375" customWidth="1"/>
    <col min="3" max="3" width="18.140625" customWidth="1"/>
    <col min="4" max="7" width="18.140625" hidden="1" customWidth="1"/>
    <col min="8" max="8" width="15.140625" customWidth="1"/>
    <col min="9" max="9" width="19.42578125" customWidth="1"/>
    <col min="10" max="10" width="12.5703125" customWidth="1"/>
    <col min="11" max="11" width="18.5703125" customWidth="1"/>
    <col min="12" max="12" width="12" customWidth="1"/>
    <col min="13" max="13" width="18.85546875" customWidth="1"/>
    <col min="14" max="14" width="19.5703125" customWidth="1"/>
    <col min="15" max="15" width="15" customWidth="1"/>
    <col min="16" max="16" width="18.5703125" customWidth="1"/>
    <col min="17" max="17" width="19.85546875" customWidth="1"/>
    <col min="18" max="18" width="10.85546875" customWidth="1"/>
    <col min="19" max="19" width="19.5703125" customWidth="1"/>
    <col min="20" max="20" width="11.140625" customWidth="1"/>
    <col min="21" max="21" width="21.140625" customWidth="1"/>
  </cols>
  <sheetData>
    <row r="1" spans="1:21" ht="15.75" thickBot="1" x14ac:dyDescent="0.3">
      <c r="A1" s="224" t="s">
        <v>0</v>
      </c>
      <c r="B1" s="224"/>
      <c r="C1" s="224"/>
      <c r="D1" s="224"/>
      <c r="E1" s="224"/>
      <c r="F1" s="224"/>
      <c r="G1" s="224"/>
      <c r="H1" s="224"/>
      <c r="I1" s="224"/>
      <c r="J1" s="224"/>
      <c r="K1" s="224"/>
      <c r="L1" s="224"/>
      <c r="M1" s="224"/>
      <c r="N1" s="224"/>
      <c r="O1" s="224"/>
      <c r="P1" s="224"/>
      <c r="Q1" s="224"/>
      <c r="R1" s="224"/>
      <c r="S1" s="224"/>
      <c r="T1" s="5"/>
      <c r="U1" s="5"/>
    </row>
    <row r="2" spans="1:21" ht="15.75" thickBot="1" x14ac:dyDescent="0.3">
      <c r="A2" s="6"/>
      <c r="B2" s="6"/>
      <c r="C2" s="6"/>
      <c r="D2" s="6"/>
      <c r="E2" s="6"/>
      <c r="F2" s="6"/>
      <c r="G2" s="6"/>
      <c r="H2" s="6"/>
      <c r="I2" s="6"/>
      <c r="J2" s="6"/>
      <c r="K2" s="6"/>
      <c r="L2" s="6"/>
      <c r="M2" s="6"/>
      <c r="N2" s="6"/>
      <c r="O2" s="6"/>
      <c r="P2" s="6"/>
      <c r="Q2" s="6"/>
      <c r="R2" s="6"/>
      <c r="S2" s="6"/>
    </row>
    <row r="3" spans="1:21" ht="38.25" x14ac:dyDescent="0.25">
      <c r="A3" s="7" t="s">
        <v>1</v>
      </c>
      <c r="B3" s="8" t="s">
        <v>2</v>
      </c>
      <c r="C3" s="8" t="s">
        <v>3</v>
      </c>
      <c r="D3" s="8" t="s">
        <v>4</v>
      </c>
      <c r="E3" s="8" t="s">
        <v>5</v>
      </c>
      <c r="F3" s="8" t="s">
        <v>6</v>
      </c>
      <c r="G3" s="8" t="s">
        <v>7</v>
      </c>
      <c r="H3" s="8" t="s">
        <v>8</v>
      </c>
      <c r="I3" s="8" t="s">
        <v>9</v>
      </c>
      <c r="J3" s="8" t="s">
        <v>10</v>
      </c>
      <c r="K3" s="8" t="s">
        <v>11</v>
      </c>
      <c r="L3" s="8" t="s">
        <v>12</v>
      </c>
      <c r="M3" s="8" t="s">
        <v>13</v>
      </c>
      <c r="N3" s="8" t="s">
        <v>14</v>
      </c>
      <c r="O3" s="8" t="s">
        <v>15</v>
      </c>
      <c r="P3" s="8" t="s">
        <v>16</v>
      </c>
      <c r="Q3" s="8" t="s">
        <v>17</v>
      </c>
      <c r="R3" s="8" t="s">
        <v>10</v>
      </c>
      <c r="S3" s="8" t="s">
        <v>11</v>
      </c>
      <c r="T3" s="8" t="s">
        <v>12</v>
      </c>
      <c r="U3" s="8" t="s">
        <v>13</v>
      </c>
    </row>
    <row r="4" spans="1:21" x14ac:dyDescent="0.25">
      <c r="A4" s="9">
        <v>2016</v>
      </c>
      <c r="B4" s="10">
        <v>0</v>
      </c>
      <c r="C4" s="11"/>
      <c r="D4" s="11"/>
      <c r="E4" s="11"/>
      <c r="F4" s="11"/>
      <c r="G4" s="11"/>
      <c r="H4" s="11"/>
      <c r="I4" s="12">
        <f t="shared" ref="I4" si="0">H4+C4+B4</f>
        <v>0</v>
      </c>
      <c r="J4" s="13">
        <v>0.93457900000000005</v>
      </c>
      <c r="K4" s="12">
        <f>(I4*J4)</f>
        <v>0</v>
      </c>
      <c r="L4" s="14">
        <v>0.97087400000000001</v>
      </c>
      <c r="M4" s="12">
        <f>(I4*L4)</f>
        <v>0</v>
      </c>
      <c r="N4" s="15"/>
      <c r="O4" s="15"/>
      <c r="P4" s="16"/>
      <c r="Q4" s="17"/>
      <c r="R4" s="13">
        <v>0.93457900000000005</v>
      </c>
      <c r="S4" s="18"/>
      <c r="T4" s="14">
        <v>0.97087400000000001</v>
      </c>
      <c r="U4" s="19"/>
    </row>
    <row r="5" spans="1:21" x14ac:dyDescent="0.25">
      <c r="A5" s="9">
        <v>2017</v>
      </c>
      <c r="B5" s="20">
        <v>1</v>
      </c>
      <c r="C5" s="11">
        <f>'Construction Costs'!C8</f>
        <v>1122706</v>
      </c>
      <c r="D5" s="11"/>
      <c r="E5" s="11"/>
      <c r="F5" s="11"/>
      <c r="G5" s="11"/>
      <c r="H5" s="11"/>
      <c r="I5" s="12">
        <f>H5+C5</f>
        <v>1122706</v>
      </c>
      <c r="J5" s="21">
        <v>0.87343899999999997</v>
      </c>
      <c r="K5" s="12">
        <f t="shared" ref="K5:K27" si="1">(I5*J5)</f>
        <v>980615.20593399997</v>
      </c>
      <c r="L5" s="21">
        <v>0.94259599999999999</v>
      </c>
      <c r="M5" s="12">
        <f>(I5*L5)</f>
        <v>1058258.184776</v>
      </c>
      <c r="N5" s="11">
        <v>1746492</v>
      </c>
      <c r="O5" s="15">
        <v>5000</v>
      </c>
      <c r="P5" s="16">
        <v>396735</v>
      </c>
      <c r="Q5" s="22">
        <f>SUM(N5+O5+P5)</f>
        <v>2148227</v>
      </c>
      <c r="R5" s="21">
        <v>0.87343899999999997</v>
      </c>
      <c r="S5" s="18">
        <f>(Q5*R5)</f>
        <v>1876345.2426529999</v>
      </c>
      <c r="T5" s="21">
        <v>0.94259599999999999</v>
      </c>
      <c r="U5" s="23">
        <f>(Q5*T5)</f>
        <v>2024910.177292</v>
      </c>
    </row>
    <row r="6" spans="1:21" x14ac:dyDescent="0.25">
      <c r="A6" s="9">
        <v>2018</v>
      </c>
      <c r="B6" s="20">
        <v>2</v>
      </c>
      <c r="C6" s="11"/>
      <c r="D6" s="11">
        <f>P$34</f>
        <v>0</v>
      </c>
      <c r="E6" s="11"/>
      <c r="F6" s="11"/>
      <c r="G6" s="11"/>
      <c r="H6" s="24">
        <v>3000</v>
      </c>
      <c r="I6" s="12">
        <f>H6+C6</f>
        <v>3000</v>
      </c>
      <c r="J6" s="21">
        <v>0.81629799999999997</v>
      </c>
      <c r="K6" s="12">
        <f t="shared" si="1"/>
        <v>2448.8939999999998</v>
      </c>
      <c r="L6" s="21">
        <v>0.91514200000000001</v>
      </c>
      <c r="M6" s="12">
        <f t="shared" ref="M6:M27" si="2">(I6*L6)</f>
        <v>2745.4259999999999</v>
      </c>
      <c r="N6" s="11">
        <v>1746492</v>
      </c>
      <c r="O6" s="11">
        <v>3000</v>
      </c>
      <c r="P6" s="16">
        <v>396735</v>
      </c>
      <c r="Q6" s="22">
        <f>SUM(N6+O6+P6)</f>
        <v>2146227</v>
      </c>
      <c r="R6" s="21">
        <v>0.81629799999999997</v>
      </c>
      <c r="S6" s="18">
        <f>(Q6*R6)</f>
        <v>1751960.8076459998</v>
      </c>
      <c r="T6" s="21">
        <v>0.91514200000000001</v>
      </c>
      <c r="U6" s="23">
        <f t="shared" ref="U6:U7" si="3">(Q6*T6)</f>
        <v>1964102.469234</v>
      </c>
    </row>
    <row r="7" spans="1:21" x14ac:dyDescent="0.25">
      <c r="A7" s="9">
        <v>2019</v>
      </c>
      <c r="B7" s="20">
        <v>3</v>
      </c>
      <c r="C7" s="11"/>
      <c r="D7" s="11"/>
      <c r="E7" s="11"/>
      <c r="F7" s="11"/>
      <c r="G7" s="11"/>
      <c r="H7" s="24"/>
      <c r="I7" s="12">
        <f t="shared" ref="I7:I28" si="4">H7+C7</f>
        <v>0</v>
      </c>
      <c r="J7" s="21">
        <v>0.76289499999999999</v>
      </c>
      <c r="K7" s="12">
        <f t="shared" si="1"/>
        <v>0</v>
      </c>
      <c r="L7" s="21">
        <v>0.88848700000000003</v>
      </c>
      <c r="M7" s="12">
        <f t="shared" si="2"/>
        <v>0</v>
      </c>
      <c r="N7" s="11">
        <v>1746492</v>
      </c>
      <c r="O7" s="11"/>
      <c r="P7" s="16">
        <v>396735</v>
      </c>
      <c r="Q7" s="22">
        <f t="shared" ref="Q7:Q28" si="5">SUM(N7+O7+P7)</f>
        <v>2143227</v>
      </c>
      <c r="R7" s="21">
        <v>0.76289499999999999</v>
      </c>
      <c r="S7" s="18">
        <f t="shared" ref="S7:S28" si="6">(Q7*R7)</f>
        <v>1635057.1621649999</v>
      </c>
      <c r="T7" s="21">
        <v>0.88848700000000003</v>
      </c>
      <c r="U7" s="23">
        <f t="shared" si="3"/>
        <v>1904229.327549</v>
      </c>
    </row>
    <row r="8" spans="1:21" x14ac:dyDescent="0.25">
      <c r="A8" s="9">
        <v>2020</v>
      </c>
      <c r="B8" s="20">
        <v>4</v>
      </c>
      <c r="C8" s="11"/>
      <c r="D8" s="11">
        <f t="shared" ref="D8" si="7">P$34</f>
        <v>0</v>
      </c>
      <c r="E8" s="11">
        <f>P$35+P$36+P$37</f>
        <v>0</v>
      </c>
      <c r="F8" s="11"/>
      <c r="G8" s="11"/>
      <c r="H8" s="25"/>
      <c r="I8" s="12">
        <f t="shared" si="4"/>
        <v>0</v>
      </c>
      <c r="J8" s="21">
        <v>0.71298600000000001</v>
      </c>
      <c r="K8" s="12">
        <f t="shared" si="1"/>
        <v>0</v>
      </c>
      <c r="L8" s="21">
        <v>0.86260899999999996</v>
      </c>
      <c r="M8" s="12">
        <f t="shared" si="2"/>
        <v>0</v>
      </c>
      <c r="N8" s="11">
        <v>1746492</v>
      </c>
      <c r="O8" s="11"/>
      <c r="P8" s="16">
        <v>396735</v>
      </c>
      <c r="Q8" s="22">
        <f t="shared" si="5"/>
        <v>2143227</v>
      </c>
      <c r="R8" s="21">
        <v>0.71298600000000001</v>
      </c>
      <c r="S8" s="18">
        <f t="shared" si="6"/>
        <v>1528090.8458219999</v>
      </c>
      <c r="T8" s="21">
        <v>0.86260899999999996</v>
      </c>
      <c r="U8" s="23">
        <f>(Q8*T8)</f>
        <v>1848766.899243</v>
      </c>
    </row>
    <row r="9" spans="1:21" x14ac:dyDescent="0.25">
      <c r="A9" s="9">
        <v>2021</v>
      </c>
      <c r="B9" s="20">
        <v>5</v>
      </c>
      <c r="C9" s="11"/>
      <c r="D9" s="11"/>
      <c r="E9" s="11"/>
      <c r="F9" s="11"/>
      <c r="G9" s="11"/>
      <c r="H9" s="25"/>
      <c r="I9" s="12">
        <f t="shared" si="4"/>
        <v>0</v>
      </c>
      <c r="J9" s="21">
        <v>0.66634199999999999</v>
      </c>
      <c r="K9" s="12">
        <f t="shared" si="1"/>
        <v>0</v>
      </c>
      <c r="L9" s="21">
        <v>0.83748400000000001</v>
      </c>
      <c r="M9" s="12">
        <f t="shared" si="2"/>
        <v>0</v>
      </c>
      <c r="N9" s="11">
        <v>1746492</v>
      </c>
      <c r="O9" s="11"/>
      <c r="P9" s="16">
        <v>396735</v>
      </c>
      <c r="Q9" s="22">
        <f t="shared" si="5"/>
        <v>2143227</v>
      </c>
      <c r="R9" s="21">
        <v>0.66634199999999999</v>
      </c>
      <c r="S9" s="18">
        <f t="shared" si="6"/>
        <v>1428122.165634</v>
      </c>
      <c r="T9" s="21">
        <v>0.83748400000000001</v>
      </c>
      <c r="U9" s="23">
        <f t="shared" ref="U9:U28" si="8">(Q9*T9)</f>
        <v>1794918.3208679999</v>
      </c>
    </row>
    <row r="10" spans="1:21" x14ac:dyDescent="0.25">
      <c r="A10" s="9">
        <v>2022</v>
      </c>
      <c r="B10" s="20">
        <v>6</v>
      </c>
      <c r="C10" s="11"/>
      <c r="D10" s="11">
        <f t="shared" ref="D10" si="9">P$34</f>
        <v>0</v>
      </c>
      <c r="E10" s="11"/>
      <c r="F10" s="11">
        <f>P$38</f>
        <v>0</v>
      </c>
      <c r="G10" s="11"/>
      <c r="H10" s="24">
        <v>2000</v>
      </c>
      <c r="I10" s="12">
        <f t="shared" si="4"/>
        <v>2000</v>
      </c>
      <c r="J10" s="21">
        <v>0.62275000000000003</v>
      </c>
      <c r="K10" s="12">
        <f t="shared" si="1"/>
        <v>1245.5</v>
      </c>
      <c r="L10" s="21">
        <v>0.81309200000000004</v>
      </c>
      <c r="M10" s="12">
        <f t="shared" si="2"/>
        <v>1626.184</v>
      </c>
      <c r="N10" s="11">
        <v>1746492</v>
      </c>
      <c r="O10" s="11">
        <v>2000</v>
      </c>
      <c r="P10" s="16">
        <v>396735</v>
      </c>
      <c r="Q10" s="22">
        <f t="shared" si="5"/>
        <v>2145227</v>
      </c>
      <c r="R10" s="21">
        <v>0.62275000000000003</v>
      </c>
      <c r="S10" s="18">
        <f t="shared" si="6"/>
        <v>1335940.1142500001</v>
      </c>
      <c r="T10" s="21">
        <v>0.81309200000000004</v>
      </c>
      <c r="U10" s="23">
        <f t="shared" si="8"/>
        <v>1744266.9118840001</v>
      </c>
    </row>
    <row r="11" spans="1:21" x14ac:dyDescent="0.25">
      <c r="A11" s="9">
        <v>2023</v>
      </c>
      <c r="B11" s="20">
        <v>7</v>
      </c>
      <c r="C11" s="11"/>
      <c r="D11" s="11"/>
      <c r="E11" s="11"/>
      <c r="F11" s="11"/>
      <c r="G11" s="11"/>
      <c r="H11" s="24"/>
      <c r="I11" s="12">
        <f t="shared" si="4"/>
        <v>0</v>
      </c>
      <c r="J11" s="21">
        <v>0.582009</v>
      </c>
      <c r="K11" s="12">
        <f t="shared" si="1"/>
        <v>0</v>
      </c>
      <c r="L11" s="21">
        <v>0.78940900000000003</v>
      </c>
      <c r="M11" s="12">
        <f t="shared" si="2"/>
        <v>0</v>
      </c>
      <c r="N11" s="11">
        <v>1746492</v>
      </c>
      <c r="O11" s="11"/>
      <c r="P11" s="16">
        <v>396735</v>
      </c>
      <c r="Q11" s="22">
        <f t="shared" si="5"/>
        <v>2143227</v>
      </c>
      <c r="R11" s="21">
        <v>0.582009</v>
      </c>
      <c r="S11" s="18">
        <f t="shared" si="6"/>
        <v>1247377.403043</v>
      </c>
      <c r="T11" s="21">
        <v>0.78940900000000003</v>
      </c>
      <c r="U11" s="23">
        <f t="shared" si="8"/>
        <v>1691882.6828430002</v>
      </c>
    </row>
    <row r="12" spans="1:21" x14ac:dyDescent="0.25">
      <c r="A12" s="9">
        <v>2024</v>
      </c>
      <c r="B12" s="20">
        <v>8</v>
      </c>
      <c r="C12" s="11"/>
      <c r="D12" s="11">
        <f t="shared" ref="D12" si="10">P$34</f>
        <v>0</v>
      </c>
      <c r="E12" s="11">
        <f t="shared" ref="E12" si="11">P$35+P$36+P$37</f>
        <v>0</v>
      </c>
      <c r="F12" s="11"/>
      <c r="G12" s="11"/>
      <c r="I12" s="12">
        <f t="shared" si="4"/>
        <v>0</v>
      </c>
      <c r="J12" s="21">
        <v>0.54393400000000003</v>
      </c>
      <c r="K12" s="12">
        <f t="shared" si="1"/>
        <v>0</v>
      </c>
      <c r="L12" s="21">
        <v>0.76641700000000001</v>
      </c>
      <c r="M12" s="12">
        <f t="shared" si="2"/>
        <v>0</v>
      </c>
      <c r="N12" s="11">
        <v>1746492</v>
      </c>
      <c r="O12" s="11"/>
      <c r="P12" s="16">
        <v>396735</v>
      </c>
      <c r="Q12" s="22">
        <f t="shared" si="5"/>
        <v>2143227</v>
      </c>
      <c r="R12" s="21">
        <v>0.54393400000000003</v>
      </c>
      <c r="S12" s="18">
        <f t="shared" si="6"/>
        <v>1165774.0350180001</v>
      </c>
      <c r="T12" s="21">
        <v>0.76641700000000001</v>
      </c>
      <c r="U12" s="23">
        <f t="shared" si="8"/>
        <v>1642605.607659</v>
      </c>
    </row>
    <row r="13" spans="1:21" x14ac:dyDescent="0.25">
      <c r="A13" s="9">
        <v>2025</v>
      </c>
      <c r="B13" s="20">
        <v>9</v>
      </c>
      <c r="C13" s="11"/>
      <c r="D13" s="11"/>
      <c r="E13" s="11"/>
      <c r="F13" s="11"/>
      <c r="G13" s="11"/>
      <c r="H13" s="24"/>
      <c r="I13" s="12">
        <f t="shared" si="4"/>
        <v>0</v>
      </c>
      <c r="J13" s="21">
        <v>0.50834900000000005</v>
      </c>
      <c r="K13" s="12">
        <f t="shared" si="1"/>
        <v>0</v>
      </c>
      <c r="L13" s="21">
        <v>0.74409400000000003</v>
      </c>
      <c r="M13" s="12">
        <f t="shared" si="2"/>
        <v>0</v>
      </c>
      <c r="N13" s="11">
        <v>1746492</v>
      </c>
      <c r="O13" s="11"/>
      <c r="P13" s="16">
        <v>396735</v>
      </c>
      <c r="Q13" s="22">
        <f t="shared" si="5"/>
        <v>2143227</v>
      </c>
      <c r="R13" s="21">
        <v>0.50834900000000005</v>
      </c>
      <c r="S13" s="18">
        <f t="shared" si="6"/>
        <v>1089507.3022230002</v>
      </c>
      <c r="T13" s="21">
        <v>0.74409400000000003</v>
      </c>
      <c r="U13" s="23">
        <f t="shared" si="8"/>
        <v>1594762.351338</v>
      </c>
    </row>
    <row r="14" spans="1:21" x14ac:dyDescent="0.25">
      <c r="A14" s="9">
        <v>2026</v>
      </c>
      <c r="B14" s="20">
        <v>10</v>
      </c>
      <c r="C14" s="11"/>
      <c r="D14" s="11">
        <f t="shared" ref="D14" si="12">P$34</f>
        <v>0</v>
      </c>
      <c r="E14" s="11"/>
      <c r="F14" s="11"/>
      <c r="G14" s="11"/>
      <c r="H14" s="24">
        <v>2000</v>
      </c>
      <c r="I14" s="12">
        <f t="shared" si="4"/>
        <v>2000</v>
      </c>
      <c r="J14" s="21">
        <v>0.47509299999999999</v>
      </c>
      <c r="K14" s="12">
        <f t="shared" si="1"/>
        <v>950.18599999999992</v>
      </c>
      <c r="L14" s="21">
        <v>0.72242099999999998</v>
      </c>
      <c r="M14" s="12">
        <f t="shared" si="2"/>
        <v>1444.8419999999999</v>
      </c>
      <c r="N14" s="11">
        <v>1746492</v>
      </c>
      <c r="O14" s="11">
        <v>2000</v>
      </c>
      <c r="P14" s="16">
        <v>396735</v>
      </c>
      <c r="Q14" s="22">
        <f t="shared" si="5"/>
        <v>2145227</v>
      </c>
      <c r="R14" s="21">
        <v>0.47509299999999999</v>
      </c>
      <c r="S14" s="18">
        <f t="shared" si="6"/>
        <v>1019182.3311109999</v>
      </c>
      <c r="T14" s="21">
        <v>0.72242099999999998</v>
      </c>
      <c r="U14" s="23">
        <f t="shared" si="8"/>
        <v>1549757.0345669999</v>
      </c>
    </row>
    <row r="15" spans="1:21" x14ac:dyDescent="0.25">
      <c r="A15" s="9">
        <v>2027</v>
      </c>
      <c r="B15" s="20">
        <v>11</v>
      </c>
      <c r="C15" s="11"/>
      <c r="D15" s="11"/>
      <c r="E15" s="11"/>
      <c r="F15" s="11"/>
      <c r="G15" s="11"/>
      <c r="I15" s="12">
        <f t="shared" si="4"/>
        <v>0</v>
      </c>
      <c r="J15" s="21">
        <v>0.44401200000000002</v>
      </c>
      <c r="K15" s="12">
        <f t="shared" si="1"/>
        <v>0</v>
      </c>
      <c r="L15" s="21">
        <v>0.70138</v>
      </c>
      <c r="M15" s="12">
        <f t="shared" si="2"/>
        <v>0</v>
      </c>
      <c r="N15" s="11">
        <v>1746492</v>
      </c>
      <c r="O15" s="11"/>
      <c r="P15" s="16">
        <v>396735</v>
      </c>
      <c r="Q15" s="22">
        <f t="shared" si="5"/>
        <v>2143227</v>
      </c>
      <c r="R15" s="21">
        <v>0.44401200000000002</v>
      </c>
      <c r="S15" s="18">
        <f t="shared" si="6"/>
        <v>951618.50672400009</v>
      </c>
      <c r="T15" s="21">
        <v>0.70138</v>
      </c>
      <c r="U15" s="23">
        <f t="shared" si="8"/>
        <v>1503216.55326</v>
      </c>
    </row>
    <row r="16" spans="1:21" x14ac:dyDescent="0.25">
      <c r="A16" s="9">
        <v>2028</v>
      </c>
      <c r="B16" s="20">
        <v>12</v>
      </c>
      <c r="C16" s="11"/>
      <c r="D16" s="11">
        <f t="shared" ref="D16" si="13">P$34</f>
        <v>0</v>
      </c>
      <c r="E16" s="11">
        <f t="shared" ref="E16" si="14">P$35+P$36+P$37</f>
        <v>0</v>
      </c>
      <c r="F16" s="11">
        <f t="shared" ref="F16" si="15">P$38</f>
        <v>0</v>
      </c>
      <c r="G16" s="11">
        <f>P$39+P$40</f>
        <v>0</v>
      </c>
      <c r="H16" s="24"/>
      <c r="I16" s="12">
        <f t="shared" si="4"/>
        <v>0</v>
      </c>
      <c r="J16" s="21">
        <v>0.414964</v>
      </c>
      <c r="K16" s="12">
        <f t="shared" si="1"/>
        <v>0</v>
      </c>
      <c r="L16" s="21">
        <v>0.68095099999999997</v>
      </c>
      <c r="M16" s="12">
        <f t="shared" si="2"/>
        <v>0</v>
      </c>
      <c r="N16" s="11">
        <v>1746492</v>
      </c>
      <c r="O16" s="11"/>
      <c r="P16" s="16">
        <v>396735</v>
      </c>
      <c r="Q16" s="22">
        <f t="shared" si="5"/>
        <v>2143227</v>
      </c>
      <c r="R16" s="21">
        <v>0.414964</v>
      </c>
      <c r="S16" s="18">
        <f t="shared" si="6"/>
        <v>889362.04882799997</v>
      </c>
      <c r="T16" s="21">
        <v>0.68095099999999997</v>
      </c>
      <c r="U16" s="23">
        <f t="shared" si="8"/>
        <v>1459432.5688769999</v>
      </c>
    </row>
    <row r="17" spans="1:21" x14ac:dyDescent="0.25">
      <c r="A17" s="9">
        <v>2029</v>
      </c>
      <c r="B17" s="20">
        <v>13</v>
      </c>
      <c r="C17" s="11"/>
      <c r="D17" s="11"/>
      <c r="E17" s="11"/>
      <c r="F17" s="11"/>
      <c r="G17" s="11"/>
      <c r="H17" s="24"/>
      <c r="I17" s="12">
        <f t="shared" si="4"/>
        <v>0</v>
      </c>
      <c r="J17" s="21">
        <v>0.38781700000000002</v>
      </c>
      <c r="K17" s="12">
        <f t="shared" si="1"/>
        <v>0</v>
      </c>
      <c r="L17" s="21">
        <v>0.66111799999999998</v>
      </c>
      <c r="M17" s="12">
        <f t="shared" si="2"/>
        <v>0</v>
      </c>
      <c r="N17" s="11">
        <v>1746492</v>
      </c>
      <c r="O17" s="11"/>
      <c r="P17" s="16">
        <v>396735</v>
      </c>
      <c r="Q17" s="22">
        <f t="shared" si="5"/>
        <v>2143227</v>
      </c>
      <c r="R17" s="21">
        <v>0.38781700000000002</v>
      </c>
      <c r="S17" s="18">
        <f t="shared" si="6"/>
        <v>831179.86545899999</v>
      </c>
      <c r="T17" s="21">
        <v>0.66111799999999998</v>
      </c>
      <c r="U17" s="23">
        <f t="shared" si="8"/>
        <v>1416925.9477859999</v>
      </c>
    </row>
    <row r="18" spans="1:21" x14ac:dyDescent="0.25">
      <c r="A18" s="9">
        <v>2030</v>
      </c>
      <c r="B18" s="20">
        <v>14</v>
      </c>
      <c r="C18" s="11"/>
      <c r="D18" s="11">
        <f t="shared" ref="D18" si="16">P$34</f>
        <v>0</v>
      </c>
      <c r="E18" s="11"/>
      <c r="F18" s="11"/>
      <c r="G18" s="11"/>
      <c r="H18" s="24">
        <v>2000</v>
      </c>
      <c r="I18" s="12">
        <f t="shared" si="4"/>
        <v>2000</v>
      </c>
      <c r="J18" s="21">
        <v>0.36244599999999999</v>
      </c>
      <c r="K18" s="12">
        <f t="shared" si="1"/>
        <v>724.89199999999994</v>
      </c>
      <c r="L18" s="21">
        <v>0.64186200000000004</v>
      </c>
      <c r="M18" s="12">
        <f t="shared" si="2"/>
        <v>1283.7240000000002</v>
      </c>
      <c r="N18" s="11">
        <v>1746492</v>
      </c>
      <c r="O18" s="11">
        <v>2000</v>
      </c>
      <c r="P18" s="16">
        <v>396735</v>
      </c>
      <c r="Q18" s="22">
        <f t="shared" si="5"/>
        <v>2145227</v>
      </c>
      <c r="R18" s="21">
        <v>0.36244599999999999</v>
      </c>
      <c r="S18" s="18">
        <f t="shared" si="6"/>
        <v>777528.94524199993</v>
      </c>
      <c r="T18" s="21">
        <v>0.64186200000000004</v>
      </c>
      <c r="U18" s="23">
        <f t="shared" si="8"/>
        <v>1376939.692674</v>
      </c>
    </row>
    <row r="19" spans="1:21" x14ac:dyDescent="0.25">
      <c r="A19" s="9">
        <v>2031</v>
      </c>
      <c r="B19" s="20">
        <v>15</v>
      </c>
      <c r="C19" s="11"/>
      <c r="D19" s="11"/>
      <c r="E19" s="11"/>
      <c r="F19" s="11"/>
      <c r="G19" s="11"/>
      <c r="H19" s="24"/>
      <c r="I19" s="12">
        <f t="shared" si="4"/>
        <v>0</v>
      </c>
      <c r="J19" s="21">
        <v>0.33873500000000001</v>
      </c>
      <c r="K19" s="12">
        <f t="shared" si="1"/>
        <v>0</v>
      </c>
      <c r="L19" s="21">
        <v>0.62316700000000003</v>
      </c>
      <c r="M19" s="12">
        <f t="shared" si="2"/>
        <v>0</v>
      </c>
      <c r="N19" s="11">
        <v>1746492</v>
      </c>
      <c r="O19" s="11"/>
      <c r="P19" s="16">
        <v>396735</v>
      </c>
      <c r="Q19" s="22">
        <f t="shared" si="5"/>
        <v>2143227</v>
      </c>
      <c r="R19" s="21">
        <v>0.33873500000000001</v>
      </c>
      <c r="S19" s="18">
        <f t="shared" si="6"/>
        <v>725985.99784500001</v>
      </c>
      <c r="T19" s="21">
        <v>0.62316700000000003</v>
      </c>
      <c r="U19" s="23">
        <f t="shared" si="8"/>
        <v>1335588.3399090001</v>
      </c>
    </row>
    <row r="20" spans="1:21" x14ac:dyDescent="0.25">
      <c r="A20" s="9">
        <v>2032</v>
      </c>
      <c r="B20" s="20">
        <v>16</v>
      </c>
      <c r="C20" s="11"/>
      <c r="D20" s="11">
        <f t="shared" ref="D20" si="17">P$34</f>
        <v>0</v>
      </c>
      <c r="E20" s="11">
        <f t="shared" ref="E20" si="18">P$35+P$36+P$37</f>
        <v>0</v>
      </c>
      <c r="F20" s="11"/>
      <c r="G20" s="11"/>
      <c r="H20" s="24"/>
      <c r="I20" s="12">
        <f t="shared" si="4"/>
        <v>0</v>
      </c>
      <c r="J20" s="21">
        <v>0.31657400000000002</v>
      </c>
      <c r="K20" s="12">
        <f t="shared" si="1"/>
        <v>0</v>
      </c>
      <c r="L20" s="21">
        <v>0.605016</v>
      </c>
      <c r="M20" s="12">
        <f t="shared" si="2"/>
        <v>0</v>
      </c>
      <c r="N20" s="11">
        <v>1746492</v>
      </c>
      <c r="O20" s="11"/>
      <c r="P20" s="16">
        <v>396735</v>
      </c>
      <c r="Q20" s="22">
        <f t="shared" si="5"/>
        <v>2143227</v>
      </c>
      <c r="R20" s="21">
        <v>0.31657400000000002</v>
      </c>
      <c r="S20" s="18">
        <f t="shared" si="6"/>
        <v>678489.94429800007</v>
      </c>
      <c r="T20" s="21">
        <v>0.605016</v>
      </c>
      <c r="U20" s="23">
        <f t="shared" si="8"/>
        <v>1296686.6266320001</v>
      </c>
    </row>
    <row r="21" spans="1:21" x14ac:dyDescent="0.25">
      <c r="A21" s="9">
        <v>2033</v>
      </c>
      <c r="B21" s="20">
        <v>17</v>
      </c>
      <c r="C21" s="11"/>
      <c r="D21" s="11"/>
      <c r="E21" s="11"/>
      <c r="F21" s="11"/>
      <c r="G21" s="11"/>
      <c r="H21" s="24"/>
      <c r="I21" s="12">
        <f t="shared" si="4"/>
        <v>0</v>
      </c>
      <c r="J21" s="21">
        <v>0.29586400000000002</v>
      </c>
      <c r="K21" s="12">
        <f t="shared" si="1"/>
        <v>0</v>
      </c>
      <c r="L21" s="21">
        <v>0.587395</v>
      </c>
      <c r="M21" s="12">
        <f t="shared" si="2"/>
        <v>0</v>
      </c>
      <c r="N21" s="11">
        <v>1746492</v>
      </c>
      <c r="O21" s="11"/>
      <c r="P21" s="16">
        <v>396735</v>
      </c>
      <c r="Q21" s="22">
        <f t="shared" si="5"/>
        <v>2143227</v>
      </c>
      <c r="R21" s="21">
        <v>0.29586400000000002</v>
      </c>
      <c r="S21" s="18">
        <f t="shared" si="6"/>
        <v>634103.71312800003</v>
      </c>
      <c r="T21" s="21">
        <v>0.587395</v>
      </c>
      <c r="U21" s="23">
        <f t="shared" si="8"/>
        <v>1258920.823665</v>
      </c>
    </row>
    <row r="22" spans="1:21" x14ac:dyDescent="0.25">
      <c r="A22" s="9">
        <v>2034</v>
      </c>
      <c r="B22" s="20">
        <v>18</v>
      </c>
      <c r="C22" s="11"/>
      <c r="D22" s="11">
        <f t="shared" ref="D22" si="19">P$34</f>
        <v>0</v>
      </c>
      <c r="E22" s="11"/>
      <c r="F22" s="11">
        <f t="shared" ref="F22" si="20">P$38</f>
        <v>0</v>
      </c>
      <c r="G22" s="11"/>
      <c r="H22" s="24">
        <v>2000</v>
      </c>
      <c r="I22" s="12">
        <f t="shared" si="4"/>
        <v>2000</v>
      </c>
      <c r="J22" s="21">
        <v>0.27650799999999998</v>
      </c>
      <c r="K22" s="12">
        <f t="shared" si="1"/>
        <v>553.01599999999996</v>
      </c>
      <c r="L22" s="21">
        <v>0.57028599999999996</v>
      </c>
      <c r="M22" s="12">
        <f t="shared" si="2"/>
        <v>1140.5719999999999</v>
      </c>
      <c r="N22" s="11">
        <v>1746492</v>
      </c>
      <c r="O22" s="11">
        <v>2000</v>
      </c>
      <c r="P22" s="16">
        <v>396735</v>
      </c>
      <c r="Q22" s="22">
        <f t="shared" si="5"/>
        <v>2145227</v>
      </c>
      <c r="R22" s="21">
        <v>0.27650799999999998</v>
      </c>
      <c r="S22" s="18">
        <f t="shared" si="6"/>
        <v>593172.42731599999</v>
      </c>
      <c r="T22" s="21">
        <v>0.57028599999999996</v>
      </c>
      <c r="U22" s="23">
        <f t="shared" si="8"/>
        <v>1223392.9249219999</v>
      </c>
    </row>
    <row r="23" spans="1:21" x14ac:dyDescent="0.25">
      <c r="A23" s="9">
        <v>2035</v>
      </c>
      <c r="B23" s="20">
        <v>19</v>
      </c>
      <c r="C23" s="11"/>
      <c r="D23" s="11"/>
      <c r="E23" s="11"/>
      <c r="F23" s="11"/>
      <c r="G23" s="11"/>
      <c r="H23" s="24"/>
      <c r="I23" s="12">
        <f t="shared" si="4"/>
        <v>0</v>
      </c>
      <c r="J23" s="21">
        <v>0.25841900000000001</v>
      </c>
      <c r="K23" s="12">
        <f t="shared" si="1"/>
        <v>0</v>
      </c>
      <c r="L23" s="21">
        <v>0.55367599999999995</v>
      </c>
      <c r="M23" s="12">
        <f t="shared" si="2"/>
        <v>0</v>
      </c>
      <c r="N23" s="11">
        <v>1746492</v>
      </c>
      <c r="O23" s="11"/>
      <c r="P23" s="16">
        <v>396735</v>
      </c>
      <c r="Q23" s="22">
        <f t="shared" si="5"/>
        <v>2143227</v>
      </c>
      <c r="R23" s="21">
        <v>0.25841900000000001</v>
      </c>
      <c r="S23" s="18">
        <f t="shared" si="6"/>
        <v>553850.57811300003</v>
      </c>
      <c r="T23" s="21">
        <v>0.55367599999999995</v>
      </c>
      <c r="U23" s="23">
        <f t="shared" si="8"/>
        <v>1186653.3524519999</v>
      </c>
    </row>
    <row r="24" spans="1:21" x14ac:dyDescent="0.25">
      <c r="A24" s="9">
        <v>2036</v>
      </c>
      <c r="B24" s="20">
        <v>20</v>
      </c>
      <c r="C24" s="11"/>
      <c r="D24" s="11">
        <f t="shared" ref="D24" si="21">P$34</f>
        <v>0</v>
      </c>
      <c r="E24" s="11">
        <f t="shared" ref="E24" si="22">P$35+P$36+P$37</f>
        <v>0</v>
      </c>
      <c r="F24" s="11"/>
      <c r="G24" s="11"/>
      <c r="H24" s="24"/>
      <c r="I24" s="12">
        <f t="shared" si="4"/>
        <v>0</v>
      </c>
      <c r="J24" s="21">
        <v>0.24151300000000001</v>
      </c>
      <c r="K24" s="12">
        <f t="shared" si="1"/>
        <v>0</v>
      </c>
      <c r="L24" s="21">
        <v>0.53754900000000005</v>
      </c>
      <c r="M24" s="12">
        <f t="shared" si="2"/>
        <v>0</v>
      </c>
      <c r="N24" s="11">
        <v>1746492</v>
      </c>
      <c r="O24" s="11"/>
      <c r="P24" s="16">
        <v>396735</v>
      </c>
      <c r="Q24" s="22">
        <f t="shared" si="5"/>
        <v>2143227</v>
      </c>
      <c r="R24" s="21">
        <v>0.24151300000000001</v>
      </c>
      <c r="S24" s="18">
        <f t="shared" si="6"/>
        <v>517617.18245100003</v>
      </c>
      <c r="T24" s="21">
        <v>0.53754900000000005</v>
      </c>
      <c r="U24" s="23">
        <f t="shared" si="8"/>
        <v>1152089.5306230001</v>
      </c>
    </row>
    <row r="25" spans="1:21" x14ac:dyDescent="0.25">
      <c r="A25" s="26">
        <v>2037</v>
      </c>
      <c r="B25" s="20">
        <v>21</v>
      </c>
      <c r="C25" s="27"/>
      <c r="D25" s="11"/>
      <c r="E25" s="11"/>
      <c r="F25" s="11"/>
      <c r="G25" s="27"/>
      <c r="H25" s="24"/>
      <c r="I25" s="12">
        <f t="shared" si="4"/>
        <v>0</v>
      </c>
      <c r="J25" s="28">
        <v>0.22570999999999999</v>
      </c>
      <c r="K25" s="29">
        <f t="shared" si="1"/>
        <v>0</v>
      </c>
      <c r="L25" s="28">
        <v>0.52189200000000002</v>
      </c>
      <c r="M25" s="29">
        <f t="shared" si="2"/>
        <v>0</v>
      </c>
      <c r="N25" s="11">
        <v>1746492</v>
      </c>
      <c r="O25" s="11"/>
      <c r="P25" s="16">
        <v>396735</v>
      </c>
      <c r="Q25" s="22">
        <f t="shared" si="5"/>
        <v>2143227</v>
      </c>
      <c r="R25" s="28">
        <v>0.22570999999999999</v>
      </c>
      <c r="S25" s="18">
        <f t="shared" si="6"/>
        <v>483747.76616999996</v>
      </c>
      <c r="T25" s="28">
        <v>0.52189200000000002</v>
      </c>
      <c r="U25" s="23">
        <f t="shared" si="8"/>
        <v>1118533.0254840001</v>
      </c>
    </row>
    <row r="26" spans="1:21" x14ac:dyDescent="0.25">
      <c r="A26" s="26">
        <v>2038</v>
      </c>
      <c r="B26" s="20">
        <v>22</v>
      </c>
      <c r="C26" s="27"/>
      <c r="D26" s="11">
        <f t="shared" ref="D26" si="23">P$34</f>
        <v>0</v>
      </c>
      <c r="E26" s="11"/>
      <c r="F26" s="11"/>
      <c r="G26" s="11">
        <f>P$39+P$40</f>
        <v>0</v>
      </c>
      <c r="H26" s="24">
        <v>2000</v>
      </c>
      <c r="I26" s="12">
        <f t="shared" si="4"/>
        <v>2000</v>
      </c>
      <c r="J26" s="28">
        <v>0.21093999999999999</v>
      </c>
      <c r="K26" s="29">
        <f t="shared" si="1"/>
        <v>421.88</v>
      </c>
      <c r="L26" s="28">
        <v>0.506691</v>
      </c>
      <c r="M26" s="29">
        <f t="shared" si="2"/>
        <v>1013.3820000000001</v>
      </c>
      <c r="N26" s="11">
        <v>1746492</v>
      </c>
      <c r="O26" s="11">
        <v>2000</v>
      </c>
      <c r="P26" s="16">
        <v>396735</v>
      </c>
      <c r="Q26" s="22">
        <f t="shared" si="5"/>
        <v>2145227</v>
      </c>
      <c r="R26" s="28">
        <v>0.21093999999999999</v>
      </c>
      <c r="S26" s="18">
        <f t="shared" si="6"/>
        <v>452514.18338</v>
      </c>
      <c r="T26" s="28">
        <v>0.506691</v>
      </c>
      <c r="U26" s="23">
        <f t="shared" si="8"/>
        <v>1086967.213857</v>
      </c>
    </row>
    <row r="27" spans="1:21" x14ac:dyDescent="0.25">
      <c r="A27" s="26">
        <v>2039</v>
      </c>
      <c r="B27" s="20">
        <v>23</v>
      </c>
      <c r="C27" s="27"/>
      <c r="D27" s="11"/>
      <c r="E27" s="11"/>
      <c r="F27" s="11"/>
      <c r="G27" s="27"/>
      <c r="H27" s="24">
        <f t="shared" ref="H27" si="24">SUM(D27:G27)</f>
        <v>0</v>
      </c>
      <c r="I27" s="12">
        <f t="shared" si="4"/>
        <v>0</v>
      </c>
      <c r="J27" s="28">
        <v>0.19714000000000001</v>
      </c>
      <c r="K27" s="29">
        <f t="shared" si="1"/>
        <v>0</v>
      </c>
      <c r="L27" s="28">
        <v>0.49193300000000001</v>
      </c>
      <c r="M27" s="29">
        <f t="shared" si="2"/>
        <v>0</v>
      </c>
      <c r="N27" s="11">
        <v>1746492</v>
      </c>
      <c r="O27" s="11"/>
      <c r="P27" s="16">
        <v>396735</v>
      </c>
      <c r="Q27" s="22">
        <f t="shared" si="5"/>
        <v>2143227</v>
      </c>
      <c r="R27" s="28">
        <v>0.19714000000000001</v>
      </c>
      <c r="S27" s="18">
        <f t="shared" si="6"/>
        <v>422515.77078000002</v>
      </c>
      <c r="T27" s="28">
        <v>0.49193300000000001</v>
      </c>
      <c r="U27" s="23">
        <f t="shared" si="8"/>
        <v>1054324.087791</v>
      </c>
    </row>
    <row r="28" spans="1:21" x14ac:dyDescent="0.25">
      <c r="A28" s="26">
        <v>2040</v>
      </c>
      <c r="B28" s="20">
        <v>24</v>
      </c>
      <c r="C28" s="27"/>
      <c r="D28" s="11">
        <f>P$34</f>
        <v>0</v>
      </c>
      <c r="E28" s="11">
        <f t="shared" ref="E28" si="25">P$35+P$36+P$37</f>
        <v>0</v>
      </c>
      <c r="F28" s="11">
        <f t="shared" ref="F28" si="26">P$38</f>
        <v>0</v>
      </c>
      <c r="G28" s="27"/>
      <c r="H28" s="24"/>
      <c r="I28" s="12">
        <f t="shared" si="4"/>
        <v>0</v>
      </c>
      <c r="J28" s="28">
        <v>0.18424299999999999</v>
      </c>
      <c r="K28" s="29">
        <f>(I28*J28)</f>
        <v>0</v>
      </c>
      <c r="L28" s="28">
        <v>0.477605</v>
      </c>
      <c r="M28" s="29">
        <f>(I28*L28)</f>
        <v>0</v>
      </c>
      <c r="N28" s="11">
        <v>1746492</v>
      </c>
      <c r="O28" s="11"/>
      <c r="P28" s="16">
        <v>396735</v>
      </c>
      <c r="Q28" s="22">
        <f t="shared" si="5"/>
        <v>2143227</v>
      </c>
      <c r="R28" s="28">
        <v>0.18424299999999999</v>
      </c>
      <c r="S28" s="18">
        <f t="shared" si="6"/>
        <v>394874.57216099999</v>
      </c>
      <c r="T28" s="28">
        <v>0.477605</v>
      </c>
      <c r="U28" s="23">
        <f t="shared" si="8"/>
        <v>1023615.931335</v>
      </c>
    </row>
    <row r="29" spans="1:21" s="41" customFormat="1" ht="39" thickBot="1" x14ac:dyDescent="0.3">
      <c r="A29" s="30" t="s">
        <v>18</v>
      </c>
      <c r="B29" s="225">
        <f>SUM(B4+C5+C6+C7)</f>
        <v>1122706</v>
      </c>
      <c r="C29" s="226"/>
      <c r="D29" s="31"/>
      <c r="E29" s="31"/>
      <c r="F29" s="31"/>
      <c r="G29" s="31"/>
      <c r="H29" s="32">
        <f>SUM(H4:H28)</f>
        <v>13000</v>
      </c>
      <c r="I29" s="33">
        <f>SUM(I4:I28)</f>
        <v>1135706</v>
      </c>
      <c r="J29" s="34"/>
      <c r="K29" s="35">
        <f>SUM(K4:K28)</f>
        <v>986959.57393399987</v>
      </c>
      <c r="L29" s="36"/>
      <c r="M29" s="33">
        <f>SUM(M1:M28)</f>
        <v>1067512.3147759996</v>
      </c>
      <c r="N29" s="32">
        <f>SUM(N4:N28)</f>
        <v>41915808</v>
      </c>
      <c r="O29" s="32">
        <f>+SUM(O6:O28)</f>
        <v>13000</v>
      </c>
      <c r="P29" s="37">
        <f>SUM(P4:P28)</f>
        <v>9521640</v>
      </c>
      <c r="Q29" s="38">
        <f>SUM(Q4:Q28)</f>
        <v>51455448</v>
      </c>
      <c r="R29" s="36"/>
      <c r="S29" s="38">
        <f>SUM(S6:S28)</f>
        <v>21107573.668807</v>
      </c>
      <c r="T29" s="39"/>
      <c r="U29" s="40">
        <f>SUM(U8:U28)</f>
        <v>29360246.427668996</v>
      </c>
    </row>
    <row r="31" spans="1:21" ht="15.75" thickBot="1" x14ac:dyDescent="0.3">
      <c r="A31" s="5" t="s">
        <v>19</v>
      </c>
      <c r="B31" s="5"/>
      <c r="C31" s="5"/>
      <c r="D31" s="5"/>
      <c r="E31" s="5"/>
      <c r="F31" s="5"/>
      <c r="G31" s="5"/>
      <c r="H31" s="5"/>
      <c r="J31" s="5" t="s">
        <v>20</v>
      </c>
      <c r="K31" s="5"/>
      <c r="L31" s="5"/>
      <c r="M31" s="5"/>
      <c r="N31" s="5"/>
      <c r="O31" s="5"/>
      <c r="P31" s="5"/>
    </row>
    <row r="32" spans="1:21" ht="15.75" thickBot="1" x14ac:dyDescent="0.3"/>
    <row r="33" spans="1:19" ht="46.5" customHeight="1" x14ac:dyDescent="0.25">
      <c r="A33" s="42"/>
      <c r="B33" s="43" t="s">
        <v>21</v>
      </c>
      <c r="C33" s="44" t="s">
        <v>22</v>
      </c>
      <c r="D33" s="45"/>
      <c r="E33" s="45"/>
      <c r="F33" s="45"/>
      <c r="G33" s="45"/>
      <c r="H33" s="46" t="s">
        <v>23</v>
      </c>
      <c r="I33" s="47"/>
      <c r="J33" s="227" t="s">
        <v>24</v>
      </c>
      <c r="K33" s="227"/>
      <c r="L33" s="227"/>
      <c r="M33" s="227"/>
      <c r="N33" s="48" t="s">
        <v>25</v>
      </c>
      <c r="O33" s="48" t="s">
        <v>26</v>
      </c>
      <c r="P33" s="49"/>
    </row>
    <row r="34" spans="1:19" x14ac:dyDescent="0.25">
      <c r="A34" s="9" t="s">
        <v>27</v>
      </c>
      <c r="B34" s="16">
        <f>Q29</f>
        <v>51455448</v>
      </c>
      <c r="C34" s="16">
        <f>U29</f>
        <v>29360246.427668996</v>
      </c>
      <c r="D34" s="50"/>
      <c r="E34" s="50"/>
      <c r="F34" s="50"/>
      <c r="G34" s="50"/>
      <c r="H34" s="51">
        <f>S29</f>
        <v>21107573.668807</v>
      </c>
      <c r="I34" s="47"/>
      <c r="J34" s="228" t="s">
        <v>28</v>
      </c>
      <c r="K34" s="228"/>
      <c r="L34" s="228"/>
      <c r="M34" s="228"/>
      <c r="N34" s="52">
        <v>2</v>
      </c>
      <c r="O34" s="53">
        <v>2000</v>
      </c>
      <c r="P34" s="54"/>
    </row>
    <row r="35" spans="1:19" x14ac:dyDescent="0.25">
      <c r="A35" s="55" t="s">
        <v>29</v>
      </c>
      <c r="B35" s="56">
        <f>C5</f>
        <v>1122706</v>
      </c>
      <c r="C35" s="56">
        <f>M29</f>
        <v>1067512.3147759996</v>
      </c>
      <c r="D35" s="57"/>
      <c r="E35" s="57"/>
      <c r="F35" s="57"/>
      <c r="G35" s="57"/>
      <c r="H35" s="58">
        <f>K29</f>
        <v>986959.57393399987</v>
      </c>
      <c r="I35" s="47"/>
      <c r="J35" s="228" t="s">
        <v>30</v>
      </c>
      <c r="K35" s="228"/>
      <c r="L35" s="228"/>
      <c r="M35" s="228"/>
      <c r="N35" s="52">
        <v>4</v>
      </c>
      <c r="O35" s="53">
        <v>3000</v>
      </c>
      <c r="P35" s="54"/>
    </row>
    <row r="36" spans="1:19" ht="15.75" thickBot="1" x14ac:dyDescent="0.3">
      <c r="A36" s="59" t="s">
        <v>31</v>
      </c>
      <c r="B36" s="60">
        <f>(B34/B35)</f>
        <v>45.83163178962257</v>
      </c>
      <c r="C36" s="60">
        <f>(C34/C35)</f>
        <v>27.503426444152801</v>
      </c>
      <c r="D36" s="61"/>
      <c r="E36" s="61"/>
      <c r="F36" s="61"/>
      <c r="G36" s="61"/>
      <c r="H36" s="62">
        <f>(H34/H35)</f>
        <v>21.386462248572816</v>
      </c>
      <c r="I36" s="47"/>
      <c r="J36" s="221"/>
      <c r="K36" s="221"/>
      <c r="L36" s="221"/>
      <c r="M36" s="221"/>
      <c r="N36" s="63"/>
      <c r="O36" s="64"/>
      <c r="P36" s="54"/>
    </row>
    <row r="37" spans="1:19" x14ac:dyDescent="0.25">
      <c r="A37" s="6"/>
      <c r="B37" s="6"/>
      <c r="C37" s="6"/>
      <c r="D37" s="6"/>
      <c r="E37" s="6"/>
      <c r="F37" s="6"/>
      <c r="G37" s="6"/>
      <c r="H37" s="6"/>
      <c r="I37" s="47"/>
      <c r="J37" s="221"/>
      <c r="K37" s="221"/>
      <c r="L37" s="221"/>
      <c r="M37" s="221"/>
      <c r="N37" s="63"/>
      <c r="O37" s="64"/>
      <c r="P37" s="54"/>
    </row>
    <row r="38" spans="1:19" x14ac:dyDescent="0.25">
      <c r="A38" s="6"/>
      <c r="B38" s="6"/>
      <c r="C38" s="6"/>
      <c r="D38" s="6"/>
      <c r="E38" s="6"/>
      <c r="F38" s="6"/>
      <c r="G38" s="6"/>
      <c r="H38" s="6"/>
      <c r="I38" s="47"/>
      <c r="J38" s="221"/>
      <c r="K38" s="221"/>
      <c r="L38" s="221"/>
      <c r="M38" s="221"/>
      <c r="N38" s="63"/>
      <c r="O38" s="64"/>
      <c r="P38" s="54"/>
    </row>
    <row r="39" spans="1:19" ht="15.75" thickBot="1" x14ac:dyDescent="0.3">
      <c r="A39" s="47"/>
      <c r="B39" s="47"/>
      <c r="C39" s="47"/>
      <c r="D39" s="47"/>
      <c r="E39" s="47"/>
      <c r="F39" s="47"/>
      <c r="G39" s="47"/>
      <c r="H39" s="212">
        <v>0.03</v>
      </c>
      <c r="I39" s="47"/>
      <c r="J39" s="222"/>
      <c r="K39" s="222"/>
      <c r="L39" s="222"/>
      <c r="M39" s="222"/>
      <c r="N39" s="63"/>
      <c r="O39" s="64"/>
      <c r="P39" s="54"/>
    </row>
    <row r="40" spans="1:19" ht="15.75" thickBot="1" x14ac:dyDescent="0.3">
      <c r="A40" s="47"/>
      <c r="B40" s="213" t="s">
        <v>87</v>
      </c>
      <c r="C40" s="214">
        <f>NPV(H39/25,B34)-B35</f>
        <v>50271069.469436668</v>
      </c>
      <c r="D40" s="47"/>
      <c r="E40" s="47"/>
      <c r="F40" s="47"/>
      <c r="G40" s="47"/>
      <c r="H40" s="47"/>
      <c r="I40" s="47"/>
      <c r="J40" s="222"/>
      <c r="K40" s="222"/>
      <c r="L40" s="222"/>
      <c r="M40" s="222"/>
      <c r="N40" s="63"/>
      <c r="O40" s="64"/>
      <c r="P40" s="54"/>
    </row>
    <row r="42" spans="1:19" x14ac:dyDescent="0.25">
      <c r="J42" s="223"/>
      <c r="K42" s="223"/>
      <c r="L42" s="223"/>
      <c r="M42" s="223"/>
      <c r="N42" s="223"/>
      <c r="O42" s="223"/>
      <c r="P42" s="223"/>
      <c r="Q42" s="223"/>
      <c r="R42" s="223"/>
      <c r="S42" s="223"/>
    </row>
    <row r="43" spans="1:19" x14ac:dyDescent="0.25">
      <c r="J43" s="65"/>
    </row>
    <row r="44" spans="1:19" x14ac:dyDescent="0.25">
      <c r="J44" s="66"/>
      <c r="K44" s="66"/>
      <c r="L44" s="66"/>
      <c r="M44" s="66"/>
      <c r="N44" s="66"/>
      <c r="O44" s="66"/>
    </row>
  </sheetData>
  <mergeCells count="11">
    <mergeCell ref="J36:M36"/>
    <mergeCell ref="A1:S1"/>
    <mergeCell ref="B29:C29"/>
    <mergeCell ref="J33:M33"/>
    <mergeCell ref="J34:M34"/>
    <mergeCell ref="J35:M35"/>
    <mergeCell ref="J37:M37"/>
    <mergeCell ref="J38:M38"/>
    <mergeCell ref="J39:M39"/>
    <mergeCell ref="J40:M40"/>
    <mergeCell ref="J42:S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6"/>
  <sheetViews>
    <sheetView workbookViewId="0">
      <selection activeCell="E29" sqref="E29"/>
    </sheetView>
  </sheetViews>
  <sheetFormatPr defaultRowHeight="15" x14ac:dyDescent="0.25"/>
  <cols>
    <col min="1" max="1" width="12.140625" customWidth="1"/>
    <col min="2" max="2" width="48.5703125" customWidth="1"/>
    <col min="3" max="3" width="20.85546875" customWidth="1"/>
    <col min="4" max="4" width="16.140625" customWidth="1"/>
    <col min="5" max="5" width="28" customWidth="1"/>
    <col min="6" max="6" width="18.42578125" customWidth="1"/>
    <col min="7" max="7" width="11.5703125" customWidth="1"/>
    <col min="8" max="8" width="22.140625" customWidth="1"/>
    <col min="9" max="9" width="14.42578125" customWidth="1"/>
  </cols>
  <sheetData>
    <row r="1" spans="1:11" ht="15.75" thickBot="1" x14ac:dyDescent="0.3">
      <c r="B1" s="5" t="s">
        <v>32</v>
      </c>
      <c r="C1" s="5"/>
      <c r="D1" s="5"/>
      <c r="E1" s="5"/>
      <c r="F1" s="5"/>
      <c r="G1" s="5"/>
      <c r="H1" s="5"/>
      <c r="I1" s="5"/>
    </row>
    <row r="2" spans="1:11" ht="15.75" thickBot="1" x14ac:dyDescent="0.3">
      <c r="A2" s="67" t="s">
        <v>29</v>
      </c>
    </row>
    <row r="3" spans="1:11" ht="38.25" x14ac:dyDescent="0.25">
      <c r="A3" s="68" t="s">
        <v>1</v>
      </c>
      <c r="B3" s="69" t="s">
        <v>90</v>
      </c>
      <c r="C3" s="70" t="s">
        <v>33</v>
      </c>
      <c r="D3" s="70" t="s">
        <v>34</v>
      </c>
      <c r="E3" s="70" t="s">
        <v>35</v>
      </c>
      <c r="F3" s="70" t="s">
        <v>36</v>
      </c>
      <c r="G3" s="70" t="s">
        <v>37</v>
      </c>
      <c r="H3" s="70" t="s">
        <v>38</v>
      </c>
      <c r="I3" s="71" t="s">
        <v>39</v>
      </c>
      <c r="J3" s="2"/>
      <c r="K3" s="2"/>
    </row>
    <row r="4" spans="1:11" x14ac:dyDescent="0.25">
      <c r="A4" s="72">
        <v>2017</v>
      </c>
      <c r="B4" s="55" t="s">
        <v>40</v>
      </c>
      <c r="C4" s="73">
        <f>SUM(D4:E4,G4:I4)</f>
        <v>658445</v>
      </c>
      <c r="D4" s="73">
        <v>555000</v>
      </c>
      <c r="E4" s="73">
        <v>7000</v>
      </c>
      <c r="F4" s="73">
        <f>C4/2</f>
        <v>329222.5</v>
      </c>
      <c r="G4" s="73">
        <v>36595</v>
      </c>
      <c r="H4" s="73">
        <v>4350</v>
      </c>
      <c r="I4" s="73">
        <f>D4*0.1</f>
        <v>55500</v>
      </c>
    </row>
    <row r="5" spans="1:11" x14ac:dyDescent="0.25">
      <c r="A5" s="72">
        <v>2017</v>
      </c>
      <c r="B5" s="55" t="s">
        <v>41</v>
      </c>
      <c r="C5" s="73">
        <f>SUM(D5,G5:I5)</f>
        <v>292530.5</v>
      </c>
      <c r="D5" s="73">
        <v>244485</v>
      </c>
      <c r="E5" s="73">
        <v>0</v>
      </c>
      <c r="F5" s="73">
        <f>C5/2</f>
        <v>146265.25</v>
      </c>
      <c r="G5" s="73">
        <v>23597</v>
      </c>
      <c r="H5" s="73">
        <v>0</v>
      </c>
      <c r="I5" s="74">
        <f>D5*0.1</f>
        <v>24448.5</v>
      </c>
    </row>
    <row r="6" spans="1:11" x14ac:dyDescent="0.25">
      <c r="A6" s="72">
        <v>2017</v>
      </c>
      <c r="B6" s="94" t="s">
        <v>42</v>
      </c>
      <c r="C6" s="73">
        <f>SUM(D6,G6:I6)</f>
        <v>171730.5</v>
      </c>
      <c r="D6" s="73">
        <v>125575</v>
      </c>
      <c r="E6" s="73">
        <v>0</v>
      </c>
      <c r="F6" s="73">
        <f>C6/2</f>
        <v>85865.25</v>
      </c>
      <c r="G6" s="73">
        <v>33598</v>
      </c>
      <c r="H6" s="73">
        <v>0</v>
      </c>
      <c r="I6" s="74">
        <f>D6*0.1</f>
        <v>12557.5</v>
      </c>
    </row>
    <row r="7" spans="1:11" x14ac:dyDescent="0.25">
      <c r="A7" s="216" t="s">
        <v>88</v>
      </c>
      <c r="B7" s="215" t="s">
        <v>89</v>
      </c>
      <c r="C7" s="73">
        <v>13000</v>
      </c>
      <c r="D7" s="73">
        <v>0</v>
      </c>
      <c r="E7" s="73">
        <v>0</v>
      </c>
      <c r="F7" s="73">
        <v>0</v>
      </c>
      <c r="G7" s="73">
        <v>0</v>
      </c>
      <c r="H7" s="73">
        <v>0</v>
      </c>
      <c r="I7" s="73">
        <v>0</v>
      </c>
    </row>
    <row r="8" spans="1:11" x14ac:dyDescent="0.25">
      <c r="A8" s="84"/>
      <c r="B8" s="93" t="s">
        <v>43</v>
      </c>
      <c r="C8" s="217">
        <f>SUM(C4:C6)</f>
        <v>1122706</v>
      </c>
      <c r="D8" s="217">
        <f>SUM(D4:D7)</f>
        <v>925060</v>
      </c>
      <c r="E8" s="217">
        <f>SUM(E4:E7)</f>
        <v>7000</v>
      </c>
      <c r="F8" s="217">
        <f t="shared" ref="F8:I8" si="0">SUM(F4:F6)</f>
        <v>561353</v>
      </c>
      <c r="G8" s="217">
        <f>SUM(G4:G7)</f>
        <v>93790</v>
      </c>
      <c r="H8" s="217">
        <f>SUM(H4:H7)</f>
        <v>4350</v>
      </c>
      <c r="I8" s="217">
        <f t="shared" si="0"/>
        <v>92506</v>
      </c>
    </row>
    <row r="9" spans="1:11" x14ac:dyDescent="0.25">
      <c r="A9" s="84"/>
    </row>
    <row r="10" spans="1:11" x14ac:dyDescent="0.25">
      <c r="A10" s="84"/>
    </row>
    <row r="11" spans="1:11" ht="15.75" thickBot="1" x14ac:dyDescent="0.3">
      <c r="A11" s="84"/>
    </row>
    <row r="12" spans="1:11" x14ac:dyDescent="0.25">
      <c r="A12" s="84"/>
      <c r="B12" s="206" t="s">
        <v>44</v>
      </c>
      <c r="C12" s="207" t="s">
        <v>91</v>
      </c>
      <c r="D12" s="77"/>
      <c r="E12" s="75" t="s">
        <v>45</v>
      </c>
      <c r="F12" s="76"/>
    </row>
    <row r="13" spans="1:11" x14ac:dyDescent="0.25">
      <c r="A13" s="84"/>
      <c r="B13" s="208" t="s">
        <v>96</v>
      </c>
      <c r="C13" s="209">
        <f>C8-101000</f>
        <v>1021706</v>
      </c>
      <c r="D13" s="80"/>
      <c r="E13" s="78" t="s">
        <v>37</v>
      </c>
      <c r="F13" s="79">
        <f>G8</f>
        <v>93790</v>
      </c>
    </row>
    <row r="14" spans="1:11" x14ac:dyDescent="0.25">
      <c r="A14" s="84"/>
      <c r="B14" s="208" t="s">
        <v>46</v>
      </c>
      <c r="C14" s="209">
        <v>100000</v>
      </c>
      <c r="D14" s="80"/>
      <c r="E14" s="78" t="s">
        <v>34</v>
      </c>
      <c r="F14" s="79">
        <f>D8</f>
        <v>925060</v>
      </c>
    </row>
    <row r="15" spans="1:11" x14ac:dyDescent="0.25">
      <c r="A15" s="84"/>
      <c r="B15" s="208" t="s">
        <v>47</v>
      </c>
      <c r="C15" s="209">
        <v>1000</v>
      </c>
      <c r="D15" s="80"/>
      <c r="E15" s="78" t="s">
        <v>48</v>
      </c>
      <c r="F15" s="79">
        <f>H8</f>
        <v>4350</v>
      </c>
    </row>
    <row r="16" spans="1:11" ht="15.75" thickBot="1" x14ac:dyDescent="0.3">
      <c r="A16" s="84"/>
      <c r="B16" s="210" t="s">
        <v>49</v>
      </c>
      <c r="C16" s="211">
        <f>SUM(C13:C15)</f>
        <v>1122706</v>
      </c>
      <c r="D16" s="83"/>
      <c r="E16" s="81" t="s">
        <v>49</v>
      </c>
      <c r="F16" s="82">
        <f>SUM(F13:F15)</f>
        <v>1023200</v>
      </c>
    </row>
    <row r="17" spans="1:8" x14ac:dyDescent="0.25">
      <c r="A17" s="84"/>
      <c r="B17" s="47"/>
      <c r="C17" s="47"/>
      <c r="D17" s="47"/>
      <c r="E17" s="47"/>
      <c r="F17" s="47"/>
    </row>
    <row r="18" spans="1:8" x14ac:dyDescent="0.25">
      <c r="B18" s="47"/>
      <c r="C18" s="47"/>
      <c r="D18" s="47"/>
      <c r="E18" s="47"/>
      <c r="F18" s="47"/>
    </row>
    <row r="19" spans="1:8" ht="15.75" thickBot="1" x14ac:dyDescent="0.3">
      <c r="B19" s="47"/>
      <c r="C19" s="47"/>
      <c r="D19" s="47"/>
      <c r="E19" s="47"/>
      <c r="F19" s="47"/>
      <c r="H19" s="219"/>
    </row>
    <row r="20" spans="1:8" x14ac:dyDescent="0.25">
      <c r="B20" s="75" t="s">
        <v>50</v>
      </c>
      <c r="C20" s="85" t="s">
        <v>51</v>
      </c>
      <c r="D20" s="86" t="s">
        <v>52</v>
      </c>
      <c r="E20" s="47"/>
      <c r="F20" s="47"/>
      <c r="H20" s="219"/>
    </row>
    <row r="21" spans="1:8" x14ac:dyDescent="0.25">
      <c r="B21" s="78" t="s">
        <v>97</v>
      </c>
      <c r="C21" s="87">
        <v>42552</v>
      </c>
      <c r="D21" s="88">
        <v>42644</v>
      </c>
      <c r="E21" s="47"/>
      <c r="F21" s="47"/>
    </row>
    <row r="22" spans="1:8" x14ac:dyDescent="0.25">
      <c r="B22" s="78" t="s">
        <v>53</v>
      </c>
      <c r="C22" s="87">
        <v>42675</v>
      </c>
      <c r="D22" s="88">
        <v>42856</v>
      </c>
      <c r="E22" s="47"/>
      <c r="F22" s="47"/>
    </row>
    <row r="23" spans="1:8" x14ac:dyDescent="0.25">
      <c r="B23" s="78" t="s">
        <v>37</v>
      </c>
      <c r="C23" s="87">
        <v>42887</v>
      </c>
      <c r="D23" s="88">
        <v>43009</v>
      </c>
      <c r="E23" s="47"/>
      <c r="F23" s="47"/>
    </row>
    <row r="24" spans="1:8" x14ac:dyDescent="0.25">
      <c r="B24" s="78" t="s">
        <v>54</v>
      </c>
      <c r="C24" s="87">
        <v>43040</v>
      </c>
      <c r="D24" s="88">
        <v>43191</v>
      </c>
      <c r="E24" s="47"/>
      <c r="F24" s="47"/>
      <c r="G24" s="218"/>
      <c r="H24" s="220"/>
    </row>
    <row r="25" spans="1:8" ht="15.75" thickBot="1" x14ac:dyDescent="0.3">
      <c r="B25" s="89" t="s">
        <v>34</v>
      </c>
      <c r="C25" s="90">
        <v>43191</v>
      </c>
      <c r="D25" s="91">
        <v>43405</v>
      </c>
      <c r="E25" s="47"/>
      <c r="F25" s="47"/>
    </row>
    <row r="27" spans="1:8" ht="38.25" x14ac:dyDescent="0.25">
      <c r="B27" s="92" t="s">
        <v>55</v>
      </c>
    </row>
    <row r="29" spans="1:8" x14ac:dyDescent="0.25">
      <c r="E29" t="s">
        <v>98</v>
      </c>
    </row>
    <row r="30" spans="1:8" x14ac:dyDescent="0.25">
      <c r="D30" s="3"/>
      <c r="E30" s="3"/>
    </row>
    <row r="36" spans="3:4" x14ac:dyDescent="0.25">
      <c r="C36" s="3"/>
      <c r="D36" s="3"/>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P20"/>
  <sheetViews>
    <sheetView workbookViewId="0">
      <selection activeCell="E24" sqref="E24"/>
    </sheetView>
  </sheetViews>
  <sheetFormatPr defaultRowHeight="15" x14ac:dyDescent="0.25"/>
  <cols>
    <col min="2" max="2" width="25.85546875" customWidth="1"/>
    <col min="3" max="3" width="15.42578125" customWidth="1"/>
    <col min="4" max="4" width="18.140625" customWidth="1"/>
    <col min="8" max="8" width="17.140625" customWidth="1"/>
    <col min="9" max="9" width="18.7109375" customWidth="1"/>
    <col min="13" max="14" width="9.140625" customWidth="1"/>
  </cols>
  <sheetData>
    <row r="1" spans="1:16" ht="15.75" thickBot="1" x14ac:dyDescent="0.3">
      <c r="A1" s="95" t="s">
        <v>56</v>
      </c>
      <c r="B1" s="5"/>
      <c r="C1" s="96"/>
      <c r="D1" s="96"/>
      <c r="E1" s="96"/>
      <c r="F1" s="96"/>
      <c r="G1" s="96"/>
      <c r="H1" s="96"/>
      <c r="I1" s="96"/>
      <c r="J1" s="5"/>
      <c r="K1" s="5"/>
      <c r="L1" s="5"/>
      <c r="M1" s="5"/>
      <c r="N1" s="5"/>
      <c r="O1" s="97"/>
      <c r="P1" s="63"/>
    </row>
    <row r="2" spans="1:16" ht="15.75" thickBot="1" x14ac:dyDescent="0.3">
      <c r="A2" s="6"/>
      <c r="B2" s="6"/>
      <c r="C2" s="6"/>
      <c r="D2" s="6"/>
      <c r="E2" s="6"/>
      <c r="F2" s="6"/>
      <c r="G2" s="6"/>
      <c r="H2" s="6"/>
      <c r="I2" s="6"/>
      <c r="J2" s="6"/>
      <c r="K2" s="6"/>
      <c r="L2" s="6"/>
      <c r="M2" s="6"/>
      <c r="N2" s="6"/>
      <c r="O2" s="63"/>
      <c r="P2" s="63"/>
    </row>
    <row r="3" spans="1:16" x14ac:dyDescent="0.25">
      <c r="A3" s="229" t="s">
        <v>92</v>
      </c>
      <c r="B3" s="230"/>
      <c r="C3" s="230"/>
      <c r="D3" s="230"/>
      <c r="E3" s="230"/>
      <c r="F3" s="230"/>
      <c r="G3" s="230"/>
      <c r="H3" s="230"/>
      <c r="I3" s="230"/>
      <c r="J3" s="230"/>
      <c r="K3" s="98"/>
      <c r="L3" s="98"/>
      <c r="M3" s="98"/>
      <c r="N3" s="99"/>
      <c r="O3" s="63"/>
      <c r="P3" s="63"/>
    </row>
    <row r="4" spans="1:16" x14ac:dyDescent="0.25">
      <c r="A4" s="231"/>
      <c r="B4" s="232"/>
      <c r="C4" s="232"/>
      <c r="D4" s="232"/>
      <c r="E4" s="232"/>
      <c r="F4" s="232"/>
      <c r="G4" s="232"/>
      <c r="H4" s="232"/>
      <c r="I4" s="232"/>
      <c r="J4" s="232"/>
      <c r="K4" s="100"/>
      <c r="L4" s="100"/>
      <c r="M4" s="100"/>
      <c r="N4" s="101"/>
      <c r="O4" s="63"/>
      <c r="P4" s="63"/>
    </row>
    <row r="5" spans="1:16" x14ac:dyDescent="0.25">
      <c r="A5" s="231"/>
      <c r="B5" s="232"/>
      <c r="C5" s="232"/>
      <c r="D5" s="232"/>
      <c r="E5" s="232"/>
      <c r="F5" s="232"/>
      <c r="G5" s="232"/>
      <c r="H5" s="232"/>
      <c r="I5" s="232"/>
      <c r="J5" s="232"/>
      <c r="K5" s="100"/>
      <c r="L5" s="100"/>
      <c r="M5" s="100"/>
      <c r="N5" s="101"/>
      <c r="O5" s="63"/>
      <c r="P5" s="63"/>
    </row>
    <row r="6" spans="1:16" x14ac:dyDescent="0.25">
      <c r="A6" s="102"/>
      <c r="B6" s="63"/>
      <c r="C6" s="63"/>
      <c r="D6" s="103"/>
      <c r="E6" s="103"/>
      <c r="F6" s="104"/>
      <c r="G6" s="103"/>
      <c r="H6" s="103"/>
      <c r="I6" s="103"/>
      <c r="J6" s="63"/>
      <c r="K6" s="63"/>
      <c r="L6" s="105"/>
      <c r="M6" s="105"/>
      <c r="N6" s="106"/>
      <c r="O6" s="63"/>
      <c r="P6" s="63"/>
    </row>
    <row r="7" spans="1:16" ht="38.25" x14ac:dyDescent="0.25">
      <c r="A7" s="107" t="s">
        <v>57</v>
      </c>
      <c r="B7" s="108"/>
      <c r="C7" s="48" t="s">
        <v>58</v>
      </c>
      <c r="D7" s="48" t="s">
        <v>59</v>
      </c>
      <c r="E7" s="48" t="s">
        <v>60</v>
      </c>
      <c r="F7" s="48" t="s">
        <v>93</v>
      </c>
      <c r="G7" s="48" t="s">
        <v>61</v>
      </c>
      <c r="H7" s="48" t="s">
        <v>62</v>
      </c>
      <c r="I7" s="48" t="s">
        <v>63</v>
      </c>
      <c r="J7" s="109"/>
      <c r="K7" s="63"/>
      <c r="L7" s="105"/>
      <c r="M7" s="105"/>
      <c r="N7" s="106"/>
      <c r="O7" s="63"/>
      <c r="P7" s="63"/>
    </row>
    <row r="8" spans="1:16" ht="26.25" x14ac:dyDescent="0.25">
      <c r="A8" s="52"/>
      <c r="B8" s="21" t="s">
        <v>94</v>
      </c>
      <c r="C8" s="110">
        <v>15</v>
      </c>
      <c r="D8" s="111">
        <v>2149</v>
      </c>
      <c r="E8" s="112">
        <f>(D8*C8)/60</f>
        <v>537.25</v>
      </c>
      <c r="F8" s="113">
        <v>12.9</v>
      </c>
      <c r="G8" s="110">
        <v>252</v>
      </c>
      <c r="H8" s="114">
        <f>(E8*F8)*G8</f>
        <v>1746492.3</v>
      </c>
      <c r="I8" s="113">
        <f>H8/D8</f>
        <v>812.7</v>
      </c>
      <c r="J8" s="63"/>
      <c r="K8" s="63"/>
      <c r="L8" s="63"/>
      <c r="M8" s="63"/>
      <c r="N8" s="106"/>
      <c r="O8" s="63"/>
      <c r="P8" s="63"/>
    </row>
    <row r="9" spans="1:16" x14ac:dyDescent="0.25">
      <c r="A9" s="115"/>
      <c r="B9" s="116" t="s">
        <v>64</v>
      </c>
      <c r="C9" s="117"/>
      <c r="D9" s="118"/>
      <c r="E9" s="117"/>
      <c r="F9" s="119"/>
      <c r="G9" s="117"/>
      <c r="H9" s="120">
        <f>SUM(H8:H8)</f>
        <v>1746492.3</v>
      </c>
      <c r="I9" s="119"/>
      <c r="J9" s="63"/>
      <c r="K9" s="63"/>
      <c r="L9" s="63"/>
      <c r="M9" s="63"/>
      <c r="N9" s="106"/>
      <c r="O9" s="63"/>
      <c r="P9" s="63"/>
    </row>
    <row r="10" spans="1:16" x14ac:dyDescent="0.25">
      <c r="A10" s="102"/>
      <c r="B10" s="63"/>
      <c r="C10" s="121"/>
      <c r="D10" s="122"/>
      <c r="E10" s="121"/>
      <c r="F10" s="123"/>
      <c r="G10" s="103"/>
      <c r="H10" s="124"/>
      <c r="I10" s="123"/>
      <c r="J10" s="63"/>
      <c r="K10" s="63"/>
      <c r="L10" s="63"/>
      <c r="M10" s="63"/>
      <c r="N10" s="106"/>
      <c r="O10" s="63"/>
      <c r="P10" s="63"/>
    </row>
    <row r="11" spans="1:16" x14ac:dyDescent="0.25">
      <c r="A11" s="102"/>
      <c r="B11" s="125" t="s">
        <v>65</v>
      </c>
      <c r="C11" s="126"/>
      <c r="D11" s="127"/>
      <c r="E11" s="126"/>
      <c r="F11" s="128"/>
      <c r="G11" s="129"/>
      <c r="H11" s="130"/>
      <c r="I11" s="128"/>
      <c r="J11" s="63"/>
      <c r="K11" s="63"/>
      <c r="L11" s="63"/>
      <c r="M11" s="63"/>
      <c r="N11" s="106"/>
      <c r="O11" s="63"/>
      <c r="P11" s="63"/>
    </row>
    <row r="12" spans="1:16" x14ac:dyDescent="0.25">
      <c r="A12" s="102"/>
      <c r="B12" s="131" t="s">
        <v>95</v>
      </c>
      <c r="C12" s="121"/>
      <c r="D12" s="122"/>
      <c r="E12" s="121"/>
      <c r="F12" s="123"/>
      <c r="G12" s="103"/>
      <c r="H12" s="124"/>
      <c r="I12" s="123"/>
      <c r="J12" s="63"/>
      <c r="K12" s="63"/>
      <c r="L12" s="63"/>
      <c r="M12" s="63"/>
      <c r="N12" s="106"/>
      <c r="O12" s="63"/>
      <c r="P12" s="63"/>
    </row>
    <row r="13" spans="1:16" x14ac:dyDescent="0.25">
      <c r="A13" s="102"/>
      <c r="B13" s="131"/>
      <c r="C13" s="121"/>
      <c r="D13" s="122"/>
      <c r="E13" s="121"/>
      <c r="F13" s="123"/>
      <c r="G13" s="103"/>
      <c r="H13" s="124"/>
      <c r="I13" s="123"/>
      <c r="J13" s="63"/>
      <c r="K13" s="63"/>
      <c r="L13" s="63"/>
      <c r="M13" s="63"/>
      <c r="N13" s="106"/>
      <c r="O13" s="63"/>
      <c r="P13" s="63"/>
    </row>
    <row r="14" spans="1:16" x14ac:dyDescent="0.25">
      <c r="A14" s="102"/>
      <c r="B14" s="132" t="s">
        <v>66</v>
      </c>
      <c r="C14" s="121"/>
      <c r="D14" s="122"/>
      <c r="E14" s="121"/>
      <c r="F14" s="123"/>
      <c r="G14" s="103"/>
      <c r="H14" s="124"/>
      <c r="I14" s="123"/>
      <c r="J14" s="63"/>
      <c r="K14" s="63"/>
      <c r="L14" s="63"/>
      <c r="M14" s="63"/>
      <c r="N14" s="106"/>
      <c r="O14" s="63"/>
      <c r="P14" s="63"/>
    </row>
    <row r="15" spans="1:16" x14ac:dyDescent="0.25">
      <c r="A15" s="102"/>
      <c r="B15" s="133" t="s">
        <v>67</v>
      </c>
      <c r="C15" s="134"/>
      <c r="D15" s="135"/>
      <c r="E15" s="134"/>
      <c r="F15" s="134"/>
      <c r="G15" s="134"/>
      <c r="H15" s="136"/>
      <c r="I15" s="128"/>
      <c r="J15" s="63"/>
      <c r="K15" s="63"/>
      <c r="L15" s="63"/>
      <c r="M15" s="63"/>
      <c r="N15" s="106"/>
      <c r="O15" s="63"/>
      <c r="P15" s="63"/>
    </row>
    <row r="16" spans="1:16" x14ac:dyDescent="0.25">
      <c r="A16" s="102"/>
      <c r="B16" s="133"/>
      <c r="C16" s="134"/>
      <c r="D16" s="135"/>
      <c r="E16" s="134"/>
      <c r="F16" s="134"/>
      <c r="G16" s="134"/>
      <c r="H16" s="136"/>
      <c r="I16" s="128"/>
      <c r="J16" s="63"/>
      <c r="K16" s="63"/>
      <c r="L16" s="63"/>
      <c r="M16" s="63"/>
      <c r="N16" s="106"/>
      <c r="O16" s="63"/>
      <c r="P16" s="63"/>
    </row>
    <row r="17" spans="1:16" x14ac:dyDescent="0.25">
      <c r="A17" s="102"/>
      <c r="B17" s="132" t="s">
        <v>68</v>
      </c>
      <c r="C17" s="63"/>
      <c r="D17" s="63"/>
      <c r="E17" s="63"/>
      <c r="F17" s="63"/>
      <c r="G17" s="63"/>
      <c r="H17" s="63"/>
      <c r="I17" s="63"/>
      <c r="J17" s="63"/>
      <c r="K17" s="63"/>
      <c r="L17" s="63"/>
      <c r="M17" s="63"/>
      <c r="N17" s="106"/>
      <c r="O17" s="63"/>
      <c r="P17" s="63"/>
    </row>
    <row r="18" spans="1:16" ht="9" customHeight="1" thickBot="1" x14ac:dyDescent="0.3">
      <c r="A18" s="137"/>
      <c r="B18" s="138"/>
      <c r="C18" s="138"/>
      <c r="D18" s="138"/>
      <c r="E18" s="138"/>
      <c r="F18" s="138"/>
      <c r="G18" s="138"/>
      <c r="H18" s="138"/>
      <c r="I18" s="138"/>
      <c r="J18" s="138"/>
      <c r="K18" s="138"/>
      <c r="L18" s="138"/>
      <c r="M18" s="138"/>
      <c r="N18" s="139"/>
      <c r="O18" s="63"/>
      <c r="P18" s="63"/>
    </row>
    <row r="19" spans="1:16" x14ac:dyDescent="0.25">
      <c r="A19" s="47"/>
      <c r="B19" s="47"/>
      <c r="C19" s="47"/>
      <c r="D19" s="47"/>
      <c r="E19" s="47"/>
      <c r="F19" s="47"/>
      <c r="G19" s="47"/>
      <c r="H19" s="47"/>
      <c r="I19" s="47"/>
      <c r="J19" s="47"/>
      <c r="K19" s="47"/>
      <c r="L19" s="47"/>
      <c r="M19" s="47"/>
      <c r="N19" s="47"/>
      <c r="O19" s="47"/>
      <c r="P19" s="47"/>
    </row>
    <row r="20" spans="1:16" x14ac:dyDescent="0.25">
      <c r="A20" s="140"/>
      <c r="B20" s="141"/>
      <c r="C20" s="141"/>
      <c r="D20" s="141"/>
      <c r="E20" s="47"/>
      <c r="F20" s="47"/>
      <c r="G20" s="47"/>
      <c r="H20" s="142"/>
      <c r="I20" s="142"/>
      <c r="J20" s="142"/>
      <c r="K20" s="47"/>
      <c r="L20" s="47"/>
      <c r="M20" s="47"/>
      <c r="N20" s="47"/>
      <c r="O20" s="47"/>
      <c r="P20" s="47"/>
    </row>
  </sheetData>
  <mergeCells count="1">
    <mergeCell ref="A3:J5"/>
  </mergeCells>
  <hyperlinks>
    <hyperlink ref="B15" r:id="rId1" display="*Revised Departmental Guidance on Valuation of Travel Time in Economic Analysis (Revision 2 - corrected)"/>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31"/>
  <sheetViews>
    <sheetView workbookViewId="0">
      <selection activeCell="F45" sqref="F45"/>
    </sheetView>
  </sheetViews>
  <sheetFormatPr defaultRowHeight="12.75" x14ac:dyDescent="0.2"/>
  <cols>
    <col min="1" max="1" width="9.140625" style="47"/>
    <col min="2" max="2" width="26.7109375" style="47" customWidth="1"/>
    <col min="3" max="4" width="9.140625" style="47"/>
    <col min="5" max="5" width="25.7109375" style="47" customWidth="1"/>
    <col min="6" max="6" width="23" style="47" customWidth="1"/>
    <col min="7" max="16384" width="9.140625" style="47"/>
  </cols>
  <sheetData>
    <row r="1" spans="1:6" s="5" customFormat="1" ht="15.75" thickBot="1" x14ac:dyDescent="0.3">
      <c r="A1" s="5" t="s">
        <v>69</v>
      </c>
      <c r="C1" s="6"/>
      <c r="D1" s="5" t="s">
        <v>70</v>
      </c>
    </row>
    <row r="2" spans="1:6" ht="13.5" thickBot="1" x14ac:dyDescent="0.25"/>
    <row r="3" spans="1:6" x14ac:dyDescent="0.2">
      <c r="A3" s="143"/>
      <c r="B3" s="153" t="s">
        <v>71</v>
      </c>
      <c r="D3" s="143"/>
      <c r="E3" s="153" t="s">
        <v>71</v>
      </c>
      <c r="F3" s="153" t="s">
        <v>72</v>
      </c>
    </row>
    <row r="4" spans="1:6" x14ac:dyDescent="0.2">
      <c r="A4" s="9">
        <v>2016</v>
      </c>
      <c r="B4" s="144">
        <v>2149</v>
      </c>
      <c r="D4" s="9">
        <v>2016</v>
      </c>
      <c r="E4" s="145">
        <f>B4</f>
        <v>2149</v>
      </c>
      <c r="F4" s="146"/>
    </row>
    <row r="5" spans="1:6" x14ac:dyDescent="0.2">
      <c r="A5" s="9">
        <v>2017</v>
      </c>
      <c r="B5" s="144">
        <f>B4*1.03</f>
        <v>2213.4700000000003</v>
      </c>
      <c r="D5" s="9">
        <v>2017</v>
      </c>
      <c r="E5" s="145">
        <f t="shared" ref="E5:E27" si="0">B5</f>
        <v>2213.4700000000003</v>
      </c>
      <c r="F5" s="146"/>
    </row>
    <row r="6" spans="1:6" x14ac:dyDescent="0.2">
      <c r="A6" s="9">
        <v>2018</v>
      </c>
      <c r="B6" s="144">
        <f t="shared" ref="B6:B28" si="1">B5*1.03</f>
        <v>2279.8741000000005</v>
      </c>
      <c r="D6" s="9">
        <v>2018</v>
      </c>
      <c r="E6" s="145">
        <f t="shared" si="0"/>
        <v>2279.8741000000005</v>
      </c>
      <c r="F6" s="147">
        <f>((E6*15)/60)*12.9*261</f>
        <v>1919027.0268225004</v>
      </c>
    </row>
    <row r="7" spans="1:6" x14ac:dyDescent="0.2">
      <c r="A7" s="9">
        <v>2019</v>
      </c>
      <c r="B7" s="144">
        <f t="shared" si="1"/>
        <v>2348.2703230000006</v>
      </c>
      <c r="D7" s="9">
        <v>2019</v>
      </c>
      <c r="E7" s="145">
        <f t="shared" si="0"/>
        <v>2348.2703230000006</v>
      </c>
      <c r="F7" s="147">
        <f t="shared" ref="F7:F28" si="2">((E7*15)/60)*12.9*261</f>
        <v>1976597.8376271753</v>
      </c>
    </row>
    <row r="8" spans="1:6" x14ac:dyDescent="0.2">
      <c r="A8" s="9">
        <v>2020</v>
      </c>
      <c r="B8" s="144">
        <f t="shared" si="1"/>
        <v>2418.7184326900006</v>
      </c>
      <c r="D8" s="9">
        <v>2020</v>
      </c>
      <c r="E8" s="145">
        <f t="shared" si="0"/>
        <v>2418.7184326900006</v>
      </c>
      <c r="F8" s="147">
        <f t="shared" si="2"/>
        <v>2035895.7727559907</v>
      </c>
    </row>
    <row r="9" spans="1:6" x14ac:dyDescent="0.2">
      <c r="A9" s="9">
        <v>2021</v>
      </c>
      <c r="B9" s="144">
        <f t="shared" si="1"/>
        <v>2491.2799856707006</v>
      </c>
      <c r="D9" s="9">
        <v>2021</v>
      </c>
      <c r="E9" s="145">
        <f t="shared" si="0"/>
        <v>2491.2799856707006</v>
      </c>
      <c r="F9" s="147">
        <f t="shared" si="2"/>
        <v>2096972.6459386707</v>
      </c>
    </row>
    <row r="10" spans="1:6" x14ac:dyDescent="0.2">
      <c r="A10" s="9">
        <v>2022</v>
      </c>
      <c r="B10" s="144">
        <f t="shared" si="1"/>
        <v>2566.0183852408218</v>
      </c>
      <c r="D10" s="9">
        <v>2022</v>
      </c>
      <c r="E10" s="145">
        <f t="shared" si="0"/>
        <v>2566.0183852408218</v>
      </c>
      <c r="F10" s="147">
        <f t="shared" si="2"/>
        <v>2159881.825316831</v>
      </c>
    </row>
    <row r="11" spans="1:6" x14ac:dyDescent="0.2">
      <c r="A11" s="9">
        <v>2023</v>
      </c>
      <c r="B11" s="144">
        <f t="shared" si="1"/>
        <v>2642.9989367980465</v>
      </c>
      <c r="D11" s="9">
        <v>2023</v>
      </c>
      <c r="E11" s="145">
        <f t="shared" si="0"/>
        <v>2642.9989367980465</v>
      </c>
      <c r="F11" s="147">
        <f t="shared" si="2"/>
        <v>2224678.2800763356</v>
      </c>
    </row>
    <row r="12" spans="1:6" x14ac:dyDescent="0.2">
      <c r="A12" s="9">
        <v>2024</v>
      </c>
      <c r="B12" s="144">
        <f t="shared" si="1"/>
        <v>2722.2889049019882</v>
      </c>
      <c r="D12" s="9">
        <v>2024</v>
      </c>
      <c r="E12" s="145">
        <f t="shared" si="0"/>
        <v>2722.2889049019882</v>
      </c>
      <c r="F12" s="147">
        <f t="shared" si="2"/>
        <v>2291418.6284786263</v>
      </c>
    </row>
    <row r="13" spans="1:6" x14ac:dyDescent="0.2">
      <c r="A13" s="9">
        <v>2025</v>
      </c>
      <c r="B13" s="144">
        <f t="shared" si="1"/>
        <v>2803.9575720490479</v>
      </c>
      <c r="D13" s="9">
        <v>2025</v>
      </c>
      <c r="E13" s="145">
        <f t="shared" si="0"/>
        <v>2803.9575720490479</v>
      </c>
      <c r="F13" s="147">
        <f t="shared" si="2"/>
        <v>2360161.1873329845</v>
      </c>
    </row>
    <row r="14" spans="1:6" x14ac:dyDescent="0.2">
      <c r="A14" s="9">
        <v>2026</v>
      </c>
      <c r="B14" s="144">
        <f t="shared" si="1"/>
        <v>2888.0762992105197</v>
      </c>
      <c r="D14" s="9">
        <v>2026</v>
      </c>
      <c r="E14" s="145">
        <f t="shared" si="0"/>
        <v>2888.0762992105197</v>
      </c>
      <c r="F14" s="147">
        <f t="shared" si="2"/>
        <v>2430966.0229529748</v>
      </c>
    </row>
    <row r="15" spans="1:6" x14ac:dyDescent="0.2">
      <c r="A15" s="9">
        <v>2027</v>
      </c>
      <c r="B15" s="144">
        <f t="shared" si="1"/>
        <v>2974.7185881868354</v>
      </c>
      <c r="D15" s="9">
        <v>2027</v>
      </c>
      <c r="E15" s="145">
        <f t="shared" si="0"/>
        <v>2974.7185881868354</v>
      </c>
      <c r="F15" s="147">
        <f t="shared" si="2"/>
        <v>2503895.0036415644</v>
      </c>
    </row>
    <row r="16" spans="1:6" x14ac:dyDescent="0.2">
      <c r="A16" s="9">
        <v>2028</v>
      </c>
      <c r="B16" s="144">
        <f t="shared" si="1"/>
        <v>3063.9601458324405</v>
      </c>
      <c r="D16" s="9">
        <v>2028</v>
      </c>
      <c r="E16" s="145">
        <f t="shared" si="0"/>
        <v>3063.9601458324405</v>
      </c>
      <c r="F16" s="147">
        <f t="shared" si="2"/>
        <v>2579011.853750811</v>
      </c>
    </row>
    <row r="17" spans="1:6" x14ac:dyDescent="0.2">
      <c r="A17" s="9">
        <v>2029</v>
      </c>
      <c r="B17" s="144">
        <f t="shared" si="1"/>
        <v>3155.8789502074137</v>
      </c>
      <c r="D17" s="9">
        <v>2029</v>
      </c>
      <c r="E17" s="145">
        <f t="shared" si="0"/>
        <v>3155.8789502074137</v>
      </c>
      <c r="F17" s="147">
        <f t="shared" si="2"/>
        <v>2656382.2093633353</v>
      </c>
    </row>
    <row r="18" spans="1:6" x14ac:dyDescent="0.2">
      <c r="A18" s="9">
        <v>2030</v>
      </c>
      <c r="B18" s="144">
        <f t="shared" si="1"/>
        <v>3250.5553187136361</v>
      </c>
      <c r="D18" s="9">
        <v>2030</v>
      </c>
      <c r="E18" s="145">
        <f t="shared" si="0"/>
        <v>3250.5553187136361</v>
      </c>
      <c r="F18" s="147">
        <f t="shared" si="2"/>
        <v>2736073.6756442357</v>
      </c>
    </row>
    <row r="19" spans="1:6" x14ac:dyDescent="0.2">
      <c r="A19" s="9">
        <v>2031</v>
      </c>
      <c r="B19" s="144">
        <f t="shared" si="1"/>
        <v>3348.0719782750452</v>
      </c>
      <c r="D19" s="9">
        <v>2031</v>
      </c>
      <c r="E19" s="145">
        <f t="shared" si="0"/>
        <v>3348.0719782750452</v>
      </c>
      <c r="F19" s="147">
        <f t="shared" si="2"/>
        <v>2818155.8859135625</v>
      </c>
    </row>
    <row r="20" spans="1:6" x14ac:dyDescent="0.2">
      <c r="A20" s="9">
        <v>2032</v>
      </c>
      <c r="B20" s="144">
        <f t="shared" si="1"/>
        <v>3448.5141376232968</v>
      </c>
      <c r="D20" s="9">
        <v>2032</v>
      </c>
      <c r="E20" s="145">
        <f t="shared" si="0"/>
        <v>3448.5141376232968</v>
      </c>
      <c r="F20" s="147">
        <f t="shared" si="2"/>
        <v>2902700.5624909699</v>
      </c>
    </row>
    <row r="21" spans="1:6" x14ac:dyDescent="0.2">
      <c r="A21" s="9">
        <v>2033</v>
      </c>
      <c r="B21" s="144">
        <f t="shared" si="1"/>
        <v>3551.969561751996</v>
      </c>
      <c r="D21" s="9">
        <v>2033</v>
      </c>
      <c r="E21" s="145">
        <f t="shared" si="0"/>
        <v>3551.969561751996</v>
      </c>
      <c r="F21" s="147">
        <f t="shared" si="2"/>
        <v>2989781.5793656986</v>
      </c>
    </row>
    <row r="22" spans="1:6" x14ac:dyDescent="0.2">
      <c r="A22" s="9">
        <v>2034</v>
      </c>
      <c r="B22" s="144">
        <f t="shared" si="1"/>
        <v>3658.5286486045561</v>
      </c>
      <c r="D22" s="9">
        <v>2034</v>
      </c>
      <c r="E22" s="145">
        <f t="shared" si="0"/>
        <v>3658.5286486045561</v>
      </c>
      <c r="F22" s="147">
        <f t="shared" si="2"/>
        <v>3079475.0267466698</v>
      </c>
    </row>
    <row r="23" spans="1:6" x14ac:dyDescent="0.2">
      <c r="A23" s="9">
        <v>2035</v>
      </c>
      <c r="B23" s="144">
        <f t="shared" si="1"/>
        <v>3768.284508062693</v>
      </c>
      <c r="D23" s="9">
        <v>2035</v>
      </c>
      <c r="E23" s="145">
        <f t="shared" si="0"/>
        <v>3768.284508062693</v>
      </c>
      <c r="F23" s="147">
        <f t="shared" si="2"/>
        <v>3171859.2775490703</v>
      </c>
    </row>
    <row r="24" spans="1:6" x14ac:dyDescent="0.2">
      <c r="A24" s="9">
        <v>2036</v>
      </c>
      <c r="B24" s="144">
        <f t="shared" si="1"/>
        <v>3881.3330433045739</v>
      </c>
      <c r="D24" s="9">
        <v>2036</v>
      </c>
      <c r="E24" s="145">
        <f t="shared" si="0"/>
        <v>3881.3330433045739</v>
      </c>
      <c r="F24" s="147">
        <f t="shared" si="2"/>
        <v>3267015.0558755426</v>
      </c>
    </row>
    <row r="25" spans="1:6" x14ac:dyDescent="0.2">
      <c r="A25" s="26">
        <v>2037</v>
      </c>
      <c r="B25" s="144">
        <f t="shared" si="1"/>
        <v>3997.7730346037115</v>
      </c>
      <c r="D25" s="26">
        <v>2037</v>
      </c>
      <c r="E25" s="145">
        <f t="shared" si="0"/>
        <v>3997.7730346037115</v>
      </c>
      <c r="F25" s="147">
        <f t="shared" si="2"/>
        <v>3365025.5075518088</v>
      </c>
    </row>
    <row r="26" spans="1:6" x14ac:dyDescent="0.2">
      <c r="A26" s="26">
        <v>2038</v>
      </c>
      <c r="B26" s="144">
        <f t="shared" si="1"/>
        <v>4117.706225641823</v>
      </c>
      <c r="D26" s="26">
        <v>2038</v>
      </c>
      <c r="E26" s="145">
        <f t="shared" si="0"/>
        <v>4117.706225641823</v>
      </c>
      <c r="F26" s="147">
        <f t="shared" si="2"/>
        <v>3465976.2727783634</v>
      </c>
    </row>
    <row r="27" spans="1:6" x14ac:dyDescent="0.2">
      <c r="A27" s="26">
        <v>2039</v>
      </c>
      <c r="B27" s="144">
        <f t="shared" si="1"/>
        <v>4241.2374124110775</v>
      </c>
      <c r="D27" s="26">
        <v>2039</v>
      </c>
      <c r="E27" s="145">
        <f t="shared" si="0"/>
        <v>4241.2374124110775</v>
      </c>
      <c r="F27" s="147">
        <f t="shared" si="2"/>
        <v>3569955.5609617145</v>
      </c>
    </row>
    <row r="28" spans="1:6" x14ac:dyDescent="0.2">
      <c r="A28" s="26">
        <v>2040</v>
      </c>
      <c r="B28" s="144">
        <f t="shared" si="1"/>
        <v>4368.4745347834096</v>
      </c>
      <c r="D28" s="26">
        <v>2040</v>
      </c>
      <c r="E28" s="144">
        <f t="shared" ref="E28" si="3">(E27*0.015+E27)</f>
        <v>4304.855973597244</v>
      </c>
      <c r="F28" s="147">
        <f t="shared" si="2"/>
        <v>3623504.8943761401</v>
      </c>
    </row>
    <row r="29" spans="1:6" ht="39" thickBot="1" x14ac:dyDescent="0.25">
      <c r="A29" s="30" t="s">
        <v>18</v>
      </c>
      <c r="B29" s="148">
        <f>SUM(B4:B28)</f>
        <v>78350.959027563644</v>
      </c>
      <c r="D29" s="149"/>
      <c r="E29" s="150"/>
      <c r="F29" s="151">
        <f>SUM(F8:F28)</f>
        <v>58328786.728861898</v>
      </c>
    </row>
    <row r="31" spans="1:6" x14ac:dyDescent="0.2">
      <c r="A31" s="152" t="s">
        <v>73</v>
      </c>
      <c r="E31" s="15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N49"/>
  <sheetViews>
    <sheetView workbookViewId="0">
      <selection activeCell="J9" sqref="J9"/>
    </sheetView>
  </sheetViews>
  <sheetFormatPr defaultRowHeight="15" x14ac:dyDescent="0.25"/>
  <cols>
    <col min="1" max="1" width="45.42578125" customWidth="1"/>
    <col min="2" max="2" width="19.42578125" customWidth="1"/>
    <col min="3" max="3" width="13.85546875" customWidth="1"/>
    <col min="4" max="4" width="14.42578125" customWidth="1"/>
    <col min="5" max="5" width="13.28515625" customWidth="1"/>
    <col min="6" max="6" width="15.5703125" customWidth="1"/>
    <col min="7" max="8" width="9.140625" hidden="1" customWidth="1"/>
    <col min="10" max="10" width="45.5703125" customWidth="1"/>
    <col min="11" max="11" width="19.5703125" customWidth="1"/>
    <col min="12" max="12" width="14.5703125" customWidth="1"/>
    <col min="13" max="13" width="19.85546875" customWidth="1"/>
    <col min="14" max="14" width="16.5703125" customWidth="1"/>
  </cols>
  <sheetData>
    <row r="1" spans="1:14" ht="15.75" thickBot="1" x14ac:dyDescent="0.3">
      <c r="A1" s="5" t="s">
        <v>74</v>
      </c>
      <c r="B1" s="5"/>
      <c r="C1" s="5"/>
      <c r="D1" s="5"/>
      <c r="E1" s="5"/>
      <c r="F1" s="5"/>
      <c r="G1" s="5"/>
      <c r="H1" s="5"/>
      <c r="I1" s="5"/>
      <c r="J1" s="5"/>
      <c r="K1" s="5"/>
      <c r="L1" s="5"/>
      <c r="M1" s="5"/>
      <c r="N1" s="5"/>
    </row>
    <row r="2" spans="1:14" ht="15.75" thickBot="1" x14ac:dyDescent="0.3">
      <c r="A2" s="142"/>
      <c r="B2" s="47"/>
      <c r="C2" s="47"/>
      <c r="D2" s="47"/>
      <c r="E2" s="47"/>
      <c r="F2" s="47"/>
      <c r="I2" s="6"/>
    </row>
    <row r="3" spans="1:14" x14ac:dyDescent="0.25">
      <c r="A3" s="154" t="s">
        <v>75</v>
      </c>
      <c r="B3" s="155"/>
      <c r="C3" s="155"/>
      <c r="D3" s="155"/>
      <c r="E3" s="155"/>
      <c r="F3" s="156"/>
      <c r="G3" s="157"/>
      <c r="H3" s="158"/>
      <c r="I3" s="6"/>
      <c r="J3" s="159"/>
      <c r="K3" s="159"/>
      <c r="L3" s="159"/>
      <c r="M3" s="159"/>
      <c r="N3" s="159"/>
    </row>
    <row r="4" spans="1:14" x14ac:dyDescent="0.25">
      <c r="A4" s="160"/>
      <c r="B4" s="125" t="s">
        <v>76</v>
      </c>
      <c r="C4" s="125" t="s">
        <v>77</v>
      </c>
      <c r="D4" s="125" t="s">
        <v>78</v>
      </c>
      <c r="E4" s="63"/>
      <c r="F4" s="106"/>
      <c r="G4" s="161"/>
      <c r="H4" s="162"/>
      <c r="I4" s="6"/>
      <c r="J4" s="163"/>
      <c r="K4" s="163"/>
      <c r="L4" s="163"/>
      <c r="M4" s="163"/>
      <c r="N4" s="105"/>
    </row>
    <row r="5" spans="1:14" x14ac:dyDescent="0.25">
      <c r="A5" s="164" t="s">
        <v>79</v>
      </c>
      <c r="B5" s="63">
        <v>12</v>
      </c>
      <c r="C5" s="63">
        <v>2149</v>
      </c>
      <c r="D5" s="63">
        <f>SUM(B5*C5)</f>
        <v>25788</v>
      </c>
      <c r="E5" s="63"/>
      <c r="F5" s="106"/>
      <c r="G5" s="161"/>
      <c r="H5" s="162"/>
      <c r="I5" s="6"/>
      <c r="J5" s="165"/>
      <c r="K5" s="105"/>
      <c r="L5" s="105"/>
      <c r="M5" s="105"/>
      <c r="N5" s="105"/>
    </row>
    <row r="6" spans="1:14" x14ac:dyDescent="0.25">
      <c r="A6" s="166"/>
      <c r="B6" s="63"/>
      <c r="C6" s="63"/>
      <c r="D6" s="63"/>
      <c r="E6" s="63"/>
      <c r="F6" s="106"/>
      <c r="G6" s="161"/>
      <c r="H6" s="162"/>
      <c r="I6" s="6"/>
      <c r="J6" s="167"/>
      <c r="K6" s="105"/>
      <c r="L6" s="105"/>
      <c r="M6" s="105"/>
      <c r="N6" s="105"/>
    </row>
    <row r="7" spans="1:14" x14ac:dyDescent="0.25">
      <c r="A7" s="102"/>
      <c r="B7" s="103"/>
      <c r="C7" s="103"/>
      <c r="D7" s="63"/>
      <c r="E7" s="103"/>
      <c r="F7" s="168"/>
      <c r="G7" s="161"/>
      <c r="H7" s="162"/>
      <c r="I7" s="6"/>
      <c r="J7" s="105"/>
      <c r="K7" s="169"/>
      <c r="L7" s="169"/>
      <c r="M7" s="105"/>
      <c r="N7" s="169"/>
    </row>
    <row r="8" spans="1:14" x14ac:dyDescent="0.25">
      <c r="A8" s="170"/>
      <c r="B8" s="171"/>
      <c r="C8" s="171"/>
      <c r="D8" s="63"/>
      <c r="E8" s="103"/>
      <c r="F8" s="168"/>
      <c r="G8" s="161"/>
      <c r="H8" s="162"/>
      <c r="I8" s="6"/>
      <c r="J8" s="172"/>
      <c r="K8" s="173"/>
      <c r="L8" s="173"/>
      <c r="M8" s="105"/>
      <c r="N8" s="169"/>
    </row>
    <row r="9" spans="1:14" x14ac:dyDescent="0.25">
      <c r="A9" s="166"/>
      <c r="B9" s="63"/>
      <c r="C9" s="63"/>
      <c r="D9" s="63"/>
      <c r="E9" s="63"/>
      <c r="F9" s="106"/>
      <c r="G9" s="161"/>
      <c r="H9" s="162"/>
      <c r="I9" s="6"/>
      <c r="J9" s="167"/>
      <c r="K9" s="105"/>
      <c r="L9" s="105"/>
      <c r="M9" s="105"/>
      <c r="N9" s="105"/>
    </row>
    <row r="10" spans="1:14" x14ac:dyDescent="0.25">
      <c r="A10" s="166"/>
      <c r="B10" s="63"/>
      <c r="C10" s="63"/>
      <c r="D10" s="63"/>
      <c r="E10" s="63"/>
      <c r="F10" s="106"/>
      <c r="G10" s="161"/>
      <c r="H10" s="162"/>
      <c r="I10" s="6"/>
      <c r="J10" s="167"/>
      <c r="K10" s="105"/>
      <c r="L10" s="105"/>
      <c r="M10" s="105"/>
      <c r="N10" s="105"/>
    </row>
    <row r="11" spans="1:14" x14ac:dyDescent="0.25">
      <c r="A11" s="160" t="s">
        <v>80</v>
      </c>
      <c r="B11" s="63"/>
      <c r="C11" s="63"/>
      <c r="D11" s="174">
        <f>SUM(D5+D8)</f>
        <v>25788</v>
      </c>
      <c r="E11" s="63"/>
      <c r="F11" s="106"/>
      <c r="G11" s="161"/>
      <c r="H11" s="162"/>
      <c r="I11" s="6"/>
      <c r="J11" s="163"/>
      <c r="K11" s="105"/>
      <c r="L11" s="105"/>
      <c r="M11" s="175"/>
      <c r="N11" s="105"/>
    </row>
    <row r="12" spans="1:14" x14ac:dyDescent="0.25">
      <c r="A12" s="160"/>
      <c r="B12" s="63"/>
      <c r="C12" s="63"/>
      <c r="D12" s="63"/>
      <c r="E12" s="63"/>
      <c r="F12" s="106"/>
      <c r="G12" s="161"/>
      <c r="H12" s="162"/>
      <c r="I12" s="6"/>
      <c r="J12" s="163"/>
      <c r="K12" s="105"/>
      <c r="L12" s="105"/>
      <c r="M12" s="105"/>
      <c r="N12" s="105"/>
    </row>
    <row r="13" spans="1:14" x14ac:dyDescent="0.25">
      <c r="A13" s="176" t="s">
        <v>81</v>
      </c>
      <c r="B13" s="177">
        <v>0.19</v>
      </c>
      <c r="C13" s="63"/>
      <c r="D13" s="178">
        <f>SUM(B13*D11)</f>
        <v>4899.72</v>
      </c>
      <c r="E13" s="63" t="s">
        <v>82</v>
      </c>
      <c r="F13" s="179"/>
      <c r="G13" s="161"/>
      <c r="H13" s="162"/>
      <c r="I13" s="6"/>
      <c r="J13" s="173"/>
      <c r="K13" s="180"/>
      <c r="L13" s="105"/>
      <c r="M13" s="181"/>
      <c r="N13" s="105"/>
    </row>
    <row r="14" spans="1:14" x14ac:dyDescent="0.25">
      <c r="A14" s="102"/>
      <c r="B14" s="63"/>
      <c r="C14" s="63"/>
      <c r="D14" s="63"/>
      <c r="E14" s="63"/>
      <c r="F14" s="106"/>
      <c r="G14" s="161"/>
      <c r="H14" s="162"/>
      <c r="I14" s="6"/>
      <c r="J14" s="105"/>
      <c r="K14" s="105"/>
      <c r="L14" s="105"/>
      <c r="M14" s="105"/>
      <c r="N14" s="105"/>
    </row>
    <row r="15" spans="1:14" x14ac:dyDescent="0.25">
      <c r="A15" s="176" t="s">
        <v>83</v>
      </c>
      <c r="B15" s="63">
        <v>261</v>
      </c>
      <c r="C15" s="63"/>
      <c r="D15" s="178">
        <f>SUM(B15*D13)</f>
        <v>1278826.9200000002</v>
      </c>
      <c r="E15" s="63"/>
      <c r="F15" s="106"/>
      <c r="G15" s="161"/>
      <c r="H15" s="162"/>
      <c r="I15" s="6"/>
      <c r="J15" s="173"/>
      <c r="K15" s="105"/>
      <c r="L15" s="105"/>
      <c r="M15" s="181"/>
      <c r="N15" s="105"/>
    </row>
    <row r="16" spans="1:14" x14ac:dyDescent="0.25">
      <c r="A16" s="176"/>
      <c r="B16" s="63"/>
      <c r="C16" s="63"/>
      <c r="D16" s="63"/>
      <c r="E16" s="63"/>
      <c r="F16" s="106"/>
      <c r="G16" s="161"/>
      <c r="H16" s="162"/>
      <c r="I16" s="6"/>
      <c r="J16" s="173"/>
      <c r="K16" s="105"/>
      <c r="L16" s="105"/>
      <c r="M16" s="181"/>
      <c r="N16" s="105"/>
    </row>
    <row r="17" spans="1:14" x14ac:dyDescent="0.25">
      <c r="A17" s="182" t="s">
        <v>84</v>
      </c>
      <c r="B17" s="183"/>
      <c r="C17" s="183"/>
      <c r="D17" s="184">
        <f>SUM(D14:D16)</f>
        <v>1278826.9200000002</v>
      </c>
      <c r="E17" s="185"/>
      <c r="F17" s="179"/>
      <c r="G17" s="161"/>
      <c r="H17" s="162"/>
      <c r="I17" s="6"/>
      <c r="J17" s="173"/>
      <c r="K17" s="105"/>
      <c r="L17" s="105"/>
      <c r="M17" s="181"/>
      <c r="N17" s="105"/>
    </row>
    <row r="18" spans="1:14" x14ac:dyDescent="0.25">
      <c r="A18" s="102" t="s">
        <v>85</v>
      </c>
      <c r="B18" s="63"/>
      <c r="C18" s="63"/>
      <c r="D18" s="63"/>
      <c r="E18" s="63"/>
      <c r="F18" s="106"/>
      <c r="G18" s="161"/>
      <c r="H18" s="162"/>
      <c r="I18" s="6"/>
      <c r="J18" s="173"/>
      <c r="K18" s="105"/>
      <c r="L18" s="105"/>
      <c r="M18" s="180"/>
      <c r="N18" s="105"/>
    </row>
    <row r="19" spans="1:14" x14ac:dyDescent="0.25">
      <c r="A19" s="186" t="s">
        <v>86</v>
      </c>
      <c r="B19" s="63"/>
      <c r="C19" s="63"/>
      <c r="D19" s="63"/>
      <c r="E19" s="63"/>
      <c r="F19" s="106"/>
      <c r="G19" s="161"/>
      <c r="H19" s="162"/>
      <c r="I19" s="6"/>
      <c r="J19" s="173"/>
      <c r="K19" s="105"/>
      <c r="L19" s="105"/>
      <c r="M19" s="180"/>
      <c r="N19" s="105"/>
    </row>
    <row r="20" spans="1:14" x14ac:dyDescent="0.25">
      <c r="A20" s="166"/>
      <c r="B20" s="63"/>
      <c r="C20" s="63"/>
      <c r="D20" s="63"/>
      <c r="E20" s="63"/>
      <c r="F20" s="106"/>
      <c r="G20" s="161"/>
      <c r="H20" s="162"/>
      <c r="I20" s="6"/>
      <c r="J20" s="187"/>
      <c r="K20" s="188"/>
      <c r="L20" s="188"/>
      <c r="M20" s="189"/>
      <c r="N20" s="105"/>
    </row>
    <row r="21" spans="1:14" ht="15.75" thickBot="1" x14ac:dyDescent="0.3">
      <c r="A21" s="190"/>
      <c r="B21" s="138"/>
      <c r="C21" s="138"/>
      <c r="D21" s="138"/>
      <c r="E21" s="138"/>
      <c r="F21" s="139"/>
      <c r="G21" s="191"/>
      <c r="H21" s="192"/>
      <c r="I21" s="6"/>
      <c r="J21" s="167"/>
      <c r="K21" s="105"/>
      <c r="L21" s="105"/>
      <c r="M21" s="105"/>
      <c r="N21" s="105"/>
    </row>
    <row r="22" spans="1:14" x14ac:dyDescent="0.25">
      <c r="A22" s="63"/>
      <c r="B22" s="63"/>
      <c r="C22" s="63"/>
      <c r="D22" s="63"/>
      <c r="E22" s="63"/>
      <c r="F22" s="63"/>
      <c r="J22" s="167"/>
      <c r="K22" s="105"/>
      <c r="L22" s="105"/>
      <c r="M22" s="105"/>
      <c r="N22" s="105"/>
    </row>
    <row r="23" spans="1:14" x14ac:dyDescent="0.25">
      <c r="A23" s="193"/>
      <c r="B23" s="193"/>
      <c r="C23" s="193"/>
      <c r="D23" s="193"/>
      <c r="E23" s="193"/>
      <c r="F23" s="194"/>
      <c r="J23" s="167"/>
      <c r="K23" s="105"/>
      <c r="L23" s="105"/>
      <c r="M23" s="105"/>
      <c r="N23" s="105"/>
    </row>
    <row r="24" spans="1:14" x14ac:dyDescent="0.25">
      <c r="A24" s="105"/>
      <c r="B24" s="195"/>
      <c r="C24" s="195"/>
      <c r="D24" s="195"/>
      <c r="E24" s="195"/>
      <c r="F24" s="195"/>
      <c r="J24" s="167"/>
      <c r="K24" s="105"/>
      <c r="L24" s="105"/>
      <c r="M24" s="105"/>
      <c r="N24" s="105"/>
    </row>
    <row r="25" spans="1:14" x14ac:dyDescent="0.25">
      <c r="A25" s="163"/>
      <c r="B25" s="105"/>
      <c r="C25" s="105"/>
      <c r="D25" s="105"/>
      <c r="E25" s="105"/>
      <c r="F25" s="105"/>
      <c r="J25" s="196"/>
      <c r="K25" s="196"/>
      <c r="L25" s="196"/>
      <c r="M25" s="196"/>
      <c r="N25" s="196"/>
    </row>
    <row r="26" spans="1:14" x14ac:dyDescent="0.25">
      <c r="A26" s="163"/>
      <c r="B26" s="105"/>
      <c r="C26" s="105"/>
      <c r="D26" s="105"/>
      <c r="E26" s="105"/>
      <c r="F26" s="105"/>
      <c r="J26" s="197"/>
      <c r="K26" s="197"/>
      <c r="L26" s="197"/>
      <c r="M26" s="197"/>
      <c r="N26" s="198"/>
    </row>
    <row r="27" spans="1:14" x14ac:dyDescent="0.25">
      <c r="A27" s="163"/>
      <c r="B27" s="105"/>
      <c r="C27" s="105"/>
      <c r="D27" s="105"/>
      <c r="E27" s="105"/>
      <c r="F27" s="105"/>
      <c r="J27" s="199"/>
      <c r="K27" s="199"/>
      <c r="L27" s="199"/>
      <c r="M27" s="199"/>
      <c r="N27" s="200"/>
    </row>
    <row r="28" spans="1:14" x14ac:dyDescent="0.25">
      <c r="A28" s="163"/>
      <c r="B28" s="105"/>
      <c r="C28" s="105"/>
      <c r="D28" s="105"/>
      <c r="E28" s="105"/>
      <c r="F28" s="105"/>
      <c r="J28" s="163"/>
      <c r="K28" s="196"/>
      <c r="L28" s="196"/>
      <c r="M28" s="196"/>
      <c r="N28" s="54"/>
    </row>
    <row r="29" spans="1:14" x14ac:dyDescent="0.25">
      <c r="A29" s="105"/>
      <c r="B29" s="105"/>
      <c r="C29" s="105"/>
      <c r="D29" s="105"/>
      <c r="E29" s="105"/>
      <c r="F29" s="105"/>
      <c r="J29" s="163"/>
      <c r="K29" s="196"/>
      <c r="L29" s="196"/>
      <c r="M29" s="196"/>
      <c r="N29" s="54"/>
    </row>
    <row r="30" spans="1:14" x14ac:dyDescent="0.25">
      <c r="A30" s="173"/>
      <c r="B30" s="180"/>
      <c r="C30" s="105"/>
      <c r="D30" s="181"/>
      <c r="E30" s="105"/>
      <c r="F30" s="181"/>
      <c r="J30" s="163"/>
      <c r="K30" s="196"/>
      <c r="L30" s="196"/>
      <c r="M30" s="196"/>
      <c r="N30" s="54"/>
    </row>
    <row r="31" spans="1:14" x14ac:dyDescent="0.25">
      <c r="A31" s="105"/>
      <c r="B31" s="105"/>
      <c r="C31" s="105"/>
      <c r="D31" s="105"/>
      <c r="E31" s="105"/>
      <c r="F31" s="105"/>
      <c r="J31" s="196"/>
      <c r="K31" s="196"/>
      <c r="L31" s="196"/>
      <c r="M31" s="196"/>
      <c r="N31" s="196"/>
    </row>
    <row r="32" spans="1:14" x14ac:dyDescent="0.25">
      <c r="A32" s="173"/>
      <c r="B32" s="105"/>
      <c r="C32" s="105"/>
      <c r="D32" s="181"/>
      <c r="E32" s="105"/>
      <c r="F32" s="105"/>
      <c r="J32" s="197"/>
      <c r="K32" s="197"/>
      <c r="L32" s="197"/>
      <c r="M32" s="197"/>
      <c r="N32" s="185"/>
    </row>
    <row r="33" spans="1:14" x14ac:dyDescent="0.25">
      <c r="A33" s="173"/>
      <c r="B33" s="105"/>
      <c r="C33" s="105"/>
      <c r="D33" s="105"/>
      <c r="E33" s="105"/>
      <c r="F33" s="105"/>
      <c r="J33" s="196"/>
      <c r="K33" s="196"/>
      <c r="L33" s="196"/>
      <c r="M33" s="196"/>
      <c r="N33" s="196"/>
    </row>
    <row r="34" spans="1:14" x14ac:dyDescent="0.25">
      <c r="A34" s="173"/>
      <c r="B34" s="105"/>
      <c r="C34" s="105"/>
      <c r="D34" s="105"/>
      <c r="E34" s="105"/>
      <c r="F34" s="181"/>
    </row>
    <row r="35" spans="1:14" x14ac:dyDescent="0.25">
      <c r="A35" s="173"/>
      <c r="B35" s="105"/>
      <c r="C35" s="105"/>
      <c r="D35" s="105"/>
      <c r="E35" s="105"/>
      <c r="F35" s="105"/>
    </row>
    <row r="36" spans="1:14" x14ac:dyDescent="0.25">
      <c r="A36" s="201"/>
      <c r="B36" s="201"/>
      <c r="C36" s="201"/>
      <c r="D36" s="201"/>
      <c r="E36" s="201"/>
      <c r="F36" s="202"/>
    </row>
    <row r="37" spans="1:14" x14ac:dyDescent="0.25">
      <c r="A37" s="201"/>
      <c r="B37" s="201"/>
      <c r="C37" s="201"/>
      <c r="D37" s="201"/>
      <c r="E37" s="201"/>
      <c r="F37" s="202"/>
    </row>
    <row r="38" spans="1:14" x14ac:dyDescent="0.25">
      <c r="A38" s="105"/>
      <c r="B38" s="105"/>
      <c r="C38" s="105"/>
      <c r="D38" s="105"/>
      <c r="E38" s="105"/>
      <c r="F38" s="105"/>
    </row>
    <row r="39" spans="1:14" x14ac:dyDescent="0.25">
      <c r="A39" s="167"/>
      <c r="B39" s="105"/>
      <c r="C39" s="105"/>
      <c r="D39" s="105"/>
      <c r="E39" s="105"/>
      <c r="F39" s="105"/>
    </row>
    <row r="40" spans="1:14" x14ac:dyDescent="0.25">
      <c r="A40" s="105"/>
      <c r="B40" s="105"/>
      <c r="C40" s="105"/>
      <c r="D40" s="105"/>
      <c r="E40" s="105"/>
      <c r="F40" s="105"/>
    </row>
    <row r="41" spans="1:14" x14ac:dyDescent="0.25">
      <c r="A41" s="105"/>
      <c r="B41" s="105"/>
      <c r="C41" s="105"/>
      <c r="D41" s="105"/>
      <c r="E41" s="105"/>
      <c r="F41" s="105"/>
    </row>
    <row r="42" spans="1:14" x14ac:dyDescent="0.25">
      <c r="A42" s="193"/>
      <c r="B42" s="193"/>
      <c r="C42" s="193"/>
      <c r="D42" s="193"/>
      <c r="E42" s="193"/>
      <c r="F42" s="194"/>
    </row>
    <row r="43" spans="1:14" x14ac:dyDescent="0.25">
      <c r="A43" s="105"/>
      <c r="B43" s="105"/>
      <c r="C43" s="105"/>
      <c r="D43" s="105"/>
      <c r="E43" s="105"/>
      <c r="F43" s="105"/>
    </row>
    <row r="44" spans="1:14" x14ac:dyDescent="0.25">
      <c r="A44" s="163"/>
      <c r="B44" s="105"/>
      <c r="C44" s="105"/>
      <c r="D44" s="105"/>
      <c r="E44" s="105"/>
      <c r="F44" s="203"/>
    </row>
    <row r="45" spans="1:14" x14ac:dyDescent="0.25">
      <c r="A45" s="105"/>
      <c r="B45" s="105"/>
      <c r="C45" s="105"/>
      <c r="D45" s="105"/>
      <c r="E45" s="105"/>
      <c r="F45" s="105"/>
    </row>
    <row r="46" spans="1:14" x14ac:dyDescent="0.25">
      <c r="A46" s="201"/>
      <c r="B46" s="201"/>
      <c r="C46" s="201"/>
      <c r="D46" s="201"/>
      <c r="E46" s="201"/>
      <c r="F46" s="204"/>
    </row>
    <row r="47" spans="1:14" x14ac:dyDescent="0.25">
      <c r="A47" s="105"/>
      <c r="B47" s="105"/>
      <c r="C47" s="105"/>
      <c r="D47" s="105"/>
      <c r="E47" s="105"/>
      <c r="F47" s="105"/>
    </row>
    <row r="48" spans="1:14" ht="37.5" customHeight="1" x14ac:dyDescent="0.25">
      <c r="A48" s="205"/>
      <c r="B48" s="105"/>
      <c r="C48" s="105"/>
      <c r="D48" s="105"/>
      <c r="E48" s="105"/>
      <c r="F48" s="105"/>
    </row>
    <row r="49" spans="1:6" x14ac:dyDescent="0.25">
      <c r="A49" s="105"/>
      <c r="B49" s="105"/>
      <c r="C49" s="105"/>
      <c r="D49" s="105"/>
      <c r="E49" s="105"/>
      <c r="F49" s="10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Quantifiable Benefits and costs</vt:lpstr>
      <vt:lpstr>Construction Costs</vt:lpstr>
      <vt:lpstr>Travel Time Savings Explanation</vt:lpstr>
      <vt:lpstr>Travel Time Benefits</vt:lpstr>
      <vt:lpstr>Operating Cost Detour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Gunter</dc:creator>
  <cp:lastModifiedBy>Joseph Gunter</cp:lastModifiedBy>
  <dcterms:created xsi:type="dcterms:W3CDTF">2016-04-05T15:09:06Z</dcterms:created>
  <dcterms:modified xsi:type="dcterms:W3CDTF">2016-04-28T18:59:31Z</dcterms:modified>
</cp:coreProperties>
</file>